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4.xml" ContentType="application/vnd.openxmlformats-officedocument.spreadsheetml.comments+xml"/>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M:\H100 PROMOCIÓ ECONÒMICA\H101 Desenvolupament territorial\H102 Turisme\H104a Oficina de Turisme\23-03 Estadístiques\"/>
    </mc:Choice>
  </mc:AlternateContent>
  <xr:revisionPtr revIDLastSave="0" documentId="13_ncr:1_{86298FD3-9BB5-4A01-9229-E83D16D1385E}" xr6:coauthVersionLast="45" xr6:coauthVersionMax="45" xr10:uidLastSave="{00000000-0000-0000-0000-000000000000}"/>
  <bookViews>
    <workbookView xWindow="-120" yWindow="-120" windowWidth="24240" windowHeight="13140" activeTab="2" xr2:uid="{00000000-000D-0000-FFFF-FFFF00000000}"/>
  </bookViews>
  <sheets>
    <sheet name="Resum" sheetId="7" r:id="rId1"/>
    <sheet name="Evolució Anual" sheetId="5" r:id="rId2"/>
    <sheet name="Evolució mensual_anys" sheetId="3" r:id="rId3"/>
    <sheet name="Vendes Tiqets" sheetId="4" r:id="rId4"/>
    <sheet name="gràfiques" sheetId="9" r:id="rId5"/>
    <sheet name="Enq satisf gràfics" sheetId="11" r:id="rId6"/>
    <sheet name="Enq satisf dades" sheetId="10" r:id="rId7"/>
    <sheet name="Productes turístics" sheetId="1" r:id="rId8"/>
    <sheet name="Variació 2019-2022" sheetId="8" r:id="rId9"/>
  </sheets>
  <externalReferences>
    <externalReference r:id="rId10"/>
    <externalReference r:id="rId11"/>
    <externalReference r:id="rId12"/>
    <externalReference r:id="rId13"/>
    <externalReference r:id="rId14"/>
  </externalReferences>
  <definedNames>
    <definedName name="_xlnm.Print_Area" localSheetId="0">Resum!$A$1:$M$49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3" l="1"/>
  <c r="L10" i="3"/>
  <c r="C21" i="9" l="1"/>
  <c r="D21" i="9"/>
  <c r="E21" i="9"/>
  <c r="F21" i="9"/>
  <c r="G21" i="9"/>
  <c r="H21" i="9"/>
  <c r="I21" i="9"/>
  <c r="J21" i="9"/>
  <c r="L21" i="9"/>
  <c r="M21" i="9"/>
  <c r="B21" i="9"/>
  <c r="C12" i="9"/>
  <c r="D12" i="9"/>
  <c r="E12" i="9"/>
  <c r="F12" i="9"/>
  <c r="G12" i="9"/>
  <c r="H12" i="9"/>
  <c r="I12" i="9"/>
  <c r="J12" i="9"/>
  <c r="L12" i="9"/>
  <c r="M12" i="9"/>
  <c r="B12" i="9"/>
  <c r="F3" i="9"/>
  <c r="G3" i="9"/>
  <c r="H3" i="9"/>
  <c r="I3" i="9"/>
  <c r="J3" i="9"/>
  <c r="L3" i="9"/>
  <c r="M3" i="9"/>
  <c r="D3" i="9"/>
  <c r="E3" i="9"/>
  <c r="C3" i="9"/>
  <c r="B3" i="9"/>
  <c r="N14" i="4" l="1"/>
  <c r="R46" i="5" s="1"/>
  <c r="N7" i="4"/>
  <c r="N6" i="4"/>
  <c r="N5" i="4"/>
  <c r="N3" i="4"/>
  <c r="D30" i="7" l="1"/>
  <c r="K25" i="3" l="1"/>
  <c r="I25" i="3" l="1"/>
  <c r="R25" i="3" l="1"/>
  <c r="J14" i="7" l="1"/>
  <c r="E4" i="8" l="1"/>
  <c r="E33" i="8"/>
  <c r="E31" i="8"/>
  <c r="E29" i="8"/>
  <c r="E28" i="8"/>
  <c r="E27" i="8"/>
  <c r="E26" i="8"/>
  <c r="E24" i="8"/>
  <c r="E23" i="8"/>
  <c r="E22" i="8"/>
  <c r="E19" i="8"/>
  <c r="E18" i="8"/>
  <c r="E17" i="8"/>
  <c r="E16" i="8"/>
  <c r="E15" i="8"/>
  <c r="E13" i="8"/>
  <c r="E12" i="8"/>
  <c r="E10" i="8"/>
  <c r="E9" i="8"/>
  <c r="E8" i="8"/>
  <c r="E7" i="8"/>
  <c r="E6" i="8"/>
  <c r="E3" i="8"/>
  <c r="E2" i="8"/>
  <c r="O51" i="5"/>
  <c r="O49" i="5"/>
  <c r="L49" i="5"/>
  <c r="L42" i="5"/>
  <c r="O42" i="5"/>
  <c r="N16" i="4"/>
  <c r="R48" i="5" s="1"/>
  <c r="N15" i="4"/>
  <c r="R47" i="5" s="1"/>
  <c r="N13" i="4"/>
  <c r="R45" i="5" s="1"/>
  <c r="N12" i="4"/>
  <c r="R44" i="5" s="1"/>
  <c r="R41" i="5"/>
  <c r="R40" i="5"/>
  <c r="N4" i="4"/>
  <c r="R38" i="5" s="1"/>
  <c r="R37" i="5"/>
  <c r="C45" i="7" l="1"/>
  <c r="R49" i="5"/>
  <c r="R39" i="5"/>
  <c r="M27" i="3"/>
  <c r="L27" i="3"/>
  <c r="K12" i="9" s="1"/>
  <c r="N12" i="9" s="1"/>
  <c r="K27" i="3"/>
  <c r="J27" i="3"/>
  <c r="I27" i="3"/>
  <c r="H27" i="3"/>
  <c r="G27" i="3"/>
  <c r="F27" i="3"/>
  <c r="E27" i="3"/>
  <c r="D27" i="3"/>
  <c r="C27" i="3"/>
  <c r="O26" i="3"/>
  <c r="C29" i="7" s="1"/>
  <c r="O25" i="3"/>
  <c r="C28" i="7" s="1"/>
  <c r="R24" i="3"/>
  <c r="S12" i="3" s="1"/>
  <c r="O24" i="3"/>
  <c r="C27" i="7" s="1"/>
  <c r="C44" i="7" s="1"/>
  <c r="R23" i="3"/>
  <c r="O23" i="3"/>
  <c r="C26" i="7" s="1"/>
  <c r="R22" i="3"/>
  <c r="S13" i="3" s="1"/>
  <c r="O22" i="3"/>
  <c r="C25" i="7" s="1"/>
  <c r="R21" i="3"/>
  <c r="S11" i="3" s="1"/>
  <c r="O21" i="3"/>
  <c r="C24" i="7" s="1"/>
  <c r="R20" i="3"/>
  <c r="S10" i="3" s="1"/>
  <c r="O20" i="3"/>
  <c r="R19" i="3"/>
  <c r="S9" i="3" s="1"/>
  <c r="O19" i="3"/>
  <c r="R18" i="3"/>
  <c r="O18" i="3"/>
  <c r="N15" i="3"/>
  <c r="M15" i="3"/>
  <c r="L15" i="3"/>
  <c r="K3" i="9" s="1"/>
  <c r="N3" i="9" s="1"/>
  <c r="K15" i="3"/>
  <c r="J15" i="3"/>
  <c r="I15" i="3"/>
  <c r="H15" i="3"/>
  <c r="G15" i="3"/>
  <c r="F15" i="3"/>
  <c r="E15" i="3"/>
  <c r="D15" i="3"/>
  <c r="C15" i="3"/>
  <c r="S14" i="3"/>
  <c r="Q14" i="3"/>
  <c r="R14" i="3" s="1"/>
  <c r="O14" i="3"/>
  <c r="C14" i="7" s="1"/>
  <c r="C38" i="7" s="1"/>
  <c r="Q13" i="3"/>
  <c r="R13" i="3" s="1"/>
  <c r="O13" i="3"/>
  <c r="C13" i="7" s="1"/>
  <c r="Q12" i="3"/>
  <c r="R12" i="3" s="1"/>
  <c r="O12" i="3"/>
  <c r="C15" i="7" s="1"/>
  <c r="C37" i="7" s="1"/>
  <c r="Q11" i="3"/>
  <c r="R11" i="3" s="1"/>
  <c r="O11" i="3"/>
  <c r="C12" i="7" s="1"/>
  <c r="Q10" i="3"/>
  <c r="R10" i="3" s="1"/>
  <c r="O10" i="3"/>
  <c r="C11" i="7" s="1"/>
  <c r="Q9" i="3"/>
  <c r="R9" i="3" s="1"/>
  <c r="O9" i="3"/>
  <c r="C10" i="7" s="1"/>
  <c r="C35" i="7" s="1"/>
  <c r="Q8" i="3"/>
  <c r="R8" i="3" s="1"/>
  <c r="O8" i="3"/>
  <c r="C9" i="7" s="1"/>
  <c r="C34" i="7" s="1"/>
  <c r="N5" i="3"/>
  <c r="M5" i="3"/>
  <c r="L5" i="3"/>
  <c r="K21" i="9" s="1"/>
  <c r="N21" i="9" s="1"/>
  <c r="K5" i="3"/>
  <c r="J5" i="3"/>
  <c r="I5" i="3"/>
  <c r="H5" i="3"/>
  <c r="G5" i="3"/>
  <c r="F5" i="3"/>
  <c r="E5" i="3"/>
  <c r="D5" i="3"/>
  <c r="C5" i="3"/>
  <c r="Q4" i="3"/>
  <c r="O4" i="3"/>
  <c r="Q3" i="3"/>
  <c r="O3" i="3"/>
  <c r="M17" i="4"/>
  <c r="L17" i="4"/>
  <c r="K17" i="4"/>
  <c r="J17" i="4"/>
  <c r="I17" i="4"/>
  <c r="H17" i="4"/>
  <c r="G17" i="4"/>
  <c r="F17" i="4"/>
  <c r="E17" i="4"/>
  <c r="D17" i="4"/>
  <c r="C17" i="4"/>
  <c r="B17" i="4"/>
  <c r="M8" i="4"/>
  <c r="L8" i="4"/>
  <c r="K8" i="4"/>
  <c r="J8" i="4"/>
  <c r="I8" i="4"/>
  <c r="H8" i="4"/>
  <c r="G8" i="4"/>
  <c r="F8" i="4"/>
  <c r="E8" i="4"/>
  <c r="D8" i="4"/>
  <c r="C8" i="4"/>
  <c r="B8" i="4"/>
  <c r="R18" i="5" l="1"/>
  <c r="Q18" i="5" s="1"/>
  <c r="C23" i="7"/>
  <c r="C43" i="7" s="1"/>
  <c r="R4" i="5"/>
  <c r="Q4" i="5" s="1"/>
  <c r="C4" i="7"/>
  <c r="R17" i="5"/>
  <c r="Q17" i="5" s="1"/>
  <c r="C22" i="7"/>
  <c r="C42" i="7" s="1"/>
  <c r="R16" i="5"/>
  <c r="Q16" i="5" s="1"/>
  <c r="C21" i="7"/>
  <c r="C17" i="7"/>
  <c r="R42" i="5"/>
  <c r="C36" i="7"/>
  <c r="R3" i="5"/>
  <c r="C3" i="7"/>
  <c r="N8" i="4"/>
  <c r="P25" i="3"/>
  <c r="S23" i="5" s="1"/>
  <c r="R23" i="5"/>
  <c r="Q23" i="5" s="1"/>
  <c r="P24" i="3"/>
  <c r="S22" i="5" s="1"/>
  <c r="R22" i="5"/>
  <c r="P12" i="3"/>
  <c r="S13" i="5" s="1"/>
  <c r="R13" i="5"/>
  <c r="Q13" i="5" s="1"/>
  <c r="P9" i="3"/>
  <c r="S8" i="5" s="1"/>
  <c r="R8" i="5"/>
  <c r="P8" i="3"/>
  <c r="S7" i="5" s="1"/>
  <c r="R7" i="5"/>
  <c r="P22" i="3"/>
  <c r="S20" i="5" s="1"/>
  <c r="R20" i="5"/>
  <c r="Q20" i="5" s="1"/>
  <c r="P13" i="3"/>
  <c r="S11" i="5" s="1"/>
  <c r="R11" i="5"/>
  <c r="Q11" i="5" s="1"/>
  <c r="P26" i="3"/>
  <c r="S24" i="5" s="1"/>
  <c r="R24" i="5"/>
  <c r="Q24" i="5" s="1"/>
  <c r="P21" i="3"/>
  <c r="S19" i="5" s="1"/>
  <c r="R19" i="5"/>
  <c r="Q19" i="5" s="1"/>
  <c r="P11" i="3"/>
  <c r="S10" i="5" s="1"/>
  <c r="R10" i="5"/>
  <c r="Q10" i="5" s="1"/>
  <c r="P23" i="3"/>
  <c r="S21" i="5" s="1"/>
  <c r="R21" i="5"/>
  <c r="P14" i="3"/>
  <c r="S12" i="5" s="1"/>
  <c r="R12" i="5"/>
  <c r="P10" i="3"/>
  <c r="S9" i="5" s="1"/>
  <c r="R9" i="5"/>
  <c r="O5" i="3"/>
  <c r="C5" i="7" s="1"/>
  <c r="R27" i="3"/>
  <c r="Q19" i="3"/>
  <c r="R28" i="5" s="1"/>
  <c r="Q28" i="5" s="1"/>
  <c r="Q24" i="3"/>
  <c r="R33" i="5" s="1"/>
  <c r="Q33" i="5" s="1"/>
  <c r="Q21" i="3"/>
  <c r="R30" i="5" s="1"/>
  <c r="Q30" i="5" s="1"/>
  <c r="Q22" i="3"/>
  <c r="R32" i="5" s="1"/>
  <c r="Q32" i="5" s="1"/>
  <c r="Q18" i="3"/>
  <c r="R27" i="5" s="1"/>
  <c r="Q27" i="5" s="1"/>
  <c r="Q15" i="3"/>
  <c r="Q5" i="3"/>
  <c r="P4" i="3"/>
  <c r="S4" i="5" s="1"/>
  <c r="P20" i="3"/>
  <c r="S18" i="5" s="1"/>
  <c r="Q20" i="3"/>
  <c r="R29" i="5" s="1"/>
  <c r="Q29" i="5" s="1"/>
  <c r="Q23" i="3"/>
  <c r="R31" i="5" s="1"/>
  <c r="Q31" i="5" s="1"/>
  <c r="S8" i="3"/>
  <c r="S15" i="3" s="1"/>
  <c r="O15" i="3"/>
  <c r="N27" i="3"/>
  <c r="P3" i="3"/>
  <c r="S3" i="5" s="1"/>
  <c r="P18" i="3"/>
  <c r="S16" i="5" s="1"/>
  <c r="P19" i="3"/>
  <c r="S17" i="5" s="1"/>
  <c r="O27" i="3"/>
  <c r="N17" i="4"/>
  <c r="P13" i="5"/>
  <c r="P12" i="5"/>
  <c r="P11" i="5"/>
  <c r="P44" i="3"/>
  <c r="O49" i="3"/>
  <c r="N25" i="4"/>
  <c r="O41" i="5" s="1"/>
  <c r="S41" i="5" s="1"/>
  <c r="O27" i="5"/>
  <c r="O13" i="5"/>
  <c r="D15" i="7" s="1"/>
  <c r="O12" i="5"/>
  <c r="O11" i="5"/>
  <c r="C41" i="7" l="1"/>
  <c r="C30" i="7"/>
  <c r="R5" i="5"/>
  <c r="R25" i="5"/>
  <c r="R51" i="5" s="1"/>
  <c r="R34" i="5"/>
  <c r="P15" i="3"/>
  <c r="Q9" i="5"/>
  <c r="R14" i="5"/>
  <c r="N50" i="3"/>
  <c r="N40" i="3"/>
  <c r="Q45" i="3" l="1"/>
  <c r="R39" i="3" s="1"/>
  <c r="R153" i="3"/>
  <c r="R144" i="3"/>
  <c r="R107" i="3"/>
  <c r="R98" i="3"/>
  <c r="R73" i="3"/>
  <c r="R84" i="3"/>
  <c r="R57" i="3"/>
  <c r="S39" i="3" s="1"/>
  <c r="R53" i="3"/>
  <c r="R40" i="3"/>
  <c r="R41" i="3"/>
  <c r="R42" i="3"/>
  <c r="R44" i="3"/>
  <c r="R38" i="3"/>
  <c r="R49" i="3"/>
  <c r="R50" i="3"/>
  <c r="R51" i="3"/>
  <c r="R52" i="3"/>
  <c r="R54" i="3"/>
  <c r="R48" i="3"/>
  <c r="Q44" i="3"/>
  <c r="Q43" i="3"/>
  <c r="Q42" i="3"/>
  <c r="Q41" i="3"/>
  <c r="Q40" i="3"/>
  <c r="Q39" i="3"/>
  <c r="Q38" i="3"/>
  <c r="Q34" i="3"/>
  <c r="Q35" i="3"/>
  <c r="Q33" i="3"/>
  <c r="R43" i="3" l="1"/>
  <c r="S41" i="3"/>
  <c r="S42" i="3"/>
  <c r="S43" i="3"/>
  <c r="S44" i="3"/>
  <c r="S40" i="3"/>
  <c r="S38" i="3"/>
  <c r="S45" i="3" l="1"/>
  <c r="N33" i="4" l="1"/>
  <c r="O47" i="5" s="1"/>
  <c r="N24" i="4"/>
  <c r="O40" i="5" s="1"/>
  <c r="D37" i="7" s="1"/>
  <c r="O42" i="3"/>
  <c r="O54" i="3"/>
  <c r="Q54" i="3" l="1"/>
  <c r="O33" i="5" s="1"/>
  <c r="O22" i="5"/>
  <c r="D27" i="7" s="1"/>
  <c r="D44" i="7" s="1"/>
  <c r="D13" i="7"/>
  <c r="D153" i="3"/>
  <c r="C17" i="9" s="1"/>
  <c r="E153" i="3"/>
  <c r="D17" i="9" s="1"/>
  <c r="F153" i="3"/>
  <c r="E17" i="9" s="1"/>
  <c r="G153" i="3"/>
  <c r="F17" i="9" s="1"/>
  <c r="H153" i="3"/>
  <c r="G17" i="9" s="1"/>
  <c r="I153" i="3"/>
  <c r="H17" i="9" s="1"/>
  <c r="J153" i="3"/>
  <c r="I17" i="9" s="1"/>
  <c r="K153" i="3"/>
  <c r="J17" i="9" s="1"/>
  <c r="L153" i="3"/>
  <c r="K17" i="9" s="1"/>
  <c r="M153" i="3"/>
  <c r="L17" i="9" s="1"/>
  <c r="N153" i="3"/>
  <c r="M17" i="9" s="1"/>
  <c r="C153" i="3"/>
  <c r="B17" i="9" s="1"/>
  <c r="D144" i="3"/>
  <c r="E144" i="3"/>
  <c r="F144" i="3"/>
  <c r="G144" i="3"/>
  <c r="H144" i="3"/>
  <c r="I144" i="3"/>
  <c r="J144" i="3"/>
  <c r="K144" i="3"/>
  <c r="L144" i="3"/>
  <c r="M144" i="3"/>
  <c r="N144" i="3"/>
  <c r="C144" i="3"/>
  <c r="D136" i="3"/>
  <c r="E136" i="3"/>
  <c r="F136" i="3"/>
  <c r="G136" i="3"/>
  <c r="H136" i="3"/>
  <c r="I136" i="3"/>
  <c r="J136" i="3"/>
  <c r="K136" i="3"/>
  <c r="L136" i="3"/>
  <c r="M136" i="3"/>
  <c r="N136" i="3"/>
  <c r="C136" i="3"/>
  <c r="D113" i="3"/>
  <c r="C25" i="9" s="1"/>
  <c r="E113" i="3"/>
  <c r="D25" i="9" s="1"/>
  <c r="F113" i="3"/>
  <c r="E25" i="9" s="1"/>
  <c r="G113" i="3"/>
  <c r="F25" i="9" s="1"/>
  <c r="H113" i="3"/>
  <c r="G25" i="9" s="1"/>
  <c r="I113" i="3"/>
  <c r="H25" i="9" s="1"/>
  <c r="J113" i="3"/>
  <c r="I25" i="9" s="1"/>
  <c r="K113" i="3"/>
  <c r="J25" i="9" s="1"/>
  <c r="L113" i="3"/>
  <c r="K25" i="9" s="1"/>
  <c r="M113" i="3"/>
  <c r="L25" i="9" s="1"/>
  <c r="N113" i="3"/>
  <c r="M25" i="9" s="1"/>
  <c r="C113" i="3"/>
  <c r="B25" i="9" s="1"/>
  <c r="D90" i="3"/>
  <c r="C24" i="9" s="1"/>
  <c r="E90" i="3"/>
  <c r="D24" i="9" s="1"/>
  <c r="F90" i="3"/>
  <c r="E24" i="9" s="1"/>
  <c r="G90" i="3"/>
  <c r="F24" i="9" s="1"/>
  <c r="H90" i="3"/>
  <c r="G24" i="9" s="1"/>
  <c r="I90" i="3"/>
  <c r="H24" i="9" s="1"/>
  <c r="J90" i="3"/>
  <c r="I24" i="9" s="1"/>
  <c r="K90" i="3"/>
  <c r="J24" i="9" s="1"/>
  <c r="L90" i="3"/>
  <c r="K24" i="9" s="1"/>
  <c r="M90" i="3"/>
  <c r="L24" i="9" s="1"/>
  <c r="C90" i="3"/>
  <c r="B24" i="9" s="1"/>
  <c r="G26" i="9" l="1"/>
  <c r="G8" i="9"/>
  <c r="C26" i="9"/>
  <c r="C8" i="9"/>
  <c r="N25" i="9"/>
  <c r="J26" i="9"/>
  <c r="J8" i="9"/>
  <c r="K26" i="9"/>
  <c r="K8" i="9"/>
  <c r="B26" i="9"/>
  <c r="B8" i="9"/>
  <c r="F26" i="9"/>
  <c r="F8" i="9"/>
  <c r="N17" i="9"/>
  <c r="M26" i="9"/>
  <c r="M8" i="9"/>
  <c r="I26" i="9"/>
  <c r="I8" i="9"/>
  <c r="E26" i="9"/>
  <c r="E8" i="9"/>
  <c r="L26" i="9"/>
  <c r="L8" i="9"/>
  <c r="H26" i="9"/>
  <c r="H8" i="9"/>
  <c r="D26" i="9"/>
  <c r="D8" i="9"/>
  <c r="M51" i="4"/>
  <c r="L51" i="4"/>
  <c r="K51" i="4"/>
  <c r="J51" i="4"/>
  <c r="I51" i="4"/>
  <c r="C51" i="4"/>
  <c r="B51" i="4"/>
  <c r="M43" i="4"/>
  <c r="L43" i="4"/>
  <c r="K43" i="4"/>
  <c r="J43" i="4"/>
  <c r="I43" i="4"/>
  <c r="E43" i="4"/>
  <c r="D43" i="4"/>
  <c r="C43" i="4"/>
  <c r="B43" i="4"/>
  <c r="M35" i="4"/>
  <c r="L35" i="4"/>
  <c r="K35" i="4"/>
  <c r="J35" i="4"/>
  <c r="I35" i="4"/>
  <c r="H35" i="4"/>
  <c r="G35" i="4"/>
  <c r="F35" i="4"/>
  <c r="E35" i="4"/>
  <c r="D35" i="4"/>
  <c r="C35" i="4"/>
  <c r="B35" i="4"/>
  <c r="C26" i="4"/>
  <c r="D26" i="4"/>
  <c r="E26" i="4"/>
  <c r="F26" i="4"/>
  <c r="G26" i="4"/>
  <c r="H26" i="4"/>
  <c r="I26" i="4"/>
  <c r="J26" i="4"/>
  <c r="K26" i="4"/>
  <c r="L26" i="4"/>
  <c r="M26" i="4"/>
  <c r="B26" i="4"/>
  <c r="N26" i="9" l="1"/>
  <c r="N8" i="9"/>
  <c r="E130" i="3"/>
  <c r="D16" i="9" s="1"/>
  <c r="F130" i="3"/>
  <c r="E16" i="9" s="1"/>
  <c r="G130" i="3"/>
  <c r="F16" i="9" s="1"/>
  <c r="H130" i="3"/>
  <c r="G16" i="9" s="1"/>
  <c r="I130" i="3"/>
  <c r="H16" i="9" s="1"/>
  <c r="L130" i="3"/>
  <c r="K16" i="9" s="1"/>
  <c r="M130" i="3"/>
  <c r="L16" i="9" s="1"/>
  <c r="N130" i="3"/>
  <c r="M16" i="9" s="1"/>
  <c r="C130" i="3"/>
  <c r="B16" i="9" s="1"/>
  <c r="N34" i="4" l="1"/>
  <c r="O48" i="5" s="1"/>
  <c r="N32" i="4"/>
  <c r="O46" i="5" s="1"/>
  <c r="N23" i="4"/>
  <c r="O39" i="5" s="1"/>
  <c r="N22" i="4"/>
  <c r="O38" i="5" s="1"/>
  <c r="S38" i="5" s="1"/>
  <c r="M57" i="3"/>
  <c r="L13" i="9" s="1"/>
  <c r="L57" i="3"/>
  <c r="K13" i="9" s="1"/>
  <c r="K57" i="3"/>
  <c r="J13" i="9" s="1"/>
  <c r="J57" i="3"/>
  <c r="I13" i="9" s="1"/>
  <c r="I57" i="3"/>
  <c r="H13" i="9" s="1"/>
  <c r="E57" i="3"/>
  <c r="D13" i="9" s="1"/>
  <c r="C57" i="3"/>
  <c r="B13" i="9" s="1"/>
  <c r="O56" i="3"/>
  <c r="O55" i="3"/>
  <c r="O53" i="3"/>
  <c r="D57" i="3"/>
  <c r="C13" i="9" s="1"/>
  <c r="O51" i="3"/>
  <c r="O50" i="3"/>
  <c r="G57" i="3"/>
  <c r="F13" i="9" s="1"/>
  <c r="O48" i="3"/>
  <c r="M45" i="3"/>
  <c r="L4" i="9" s="1"/>
  <c r="L45" i="3"/>
  <c r="K4" i="9" s="1"/>
  <c r="K45" i="3"/>
  <c r="J4" i="9" s="1"/>
  <c r="J45" i="3"/>
  <c r="I4" i="9" s="1"/>
  <c r="I45" i="3"/>
  <c r="H4" i="9" s="1"/>
  <c r="H45" i="3"/>
  <c r="G4" i="9" s="1"/>
  <c r="E45" i="3"/>
  <c r="D4" i="9" s="1"/>
  <c r="D45" i="3"/>
  <c r="C4" i="9" s="1"/>
  <c r="C45" i="3"/>
  <c r="B4" i="9" s="1"/>
  <c r="O44" i="3"/>
  <c r="Q53" i="3" s="1"/>
  <c r="O32" i="5" s="1"/>
  <c r="O43" i="3"/>
  <c r="O41" i="3"/>
  <c r="N45" i="3"/>
  <c r="M4" i="9" s="1"/>
  <c r="O39" i="3"/>
  <c r="G45" i="3"/>
  <c r="F4" i="9" s="1"/>
  <c r="N35" i="3"/>
  <c r="M22" i="9" s="1"/>
  <c r="M35" i="3"/>
  <c r="L22" i="9" s="1"/>
  <c r="L35" i="3"/>
  <c r="K22" i="9" s="1"/>
  <c r="K35" i="3"/>
  <c r="J22" i="9" s="1"/>
  <c r="J35" i="3"/>
  <c r="I22" i="9" s="1"/>
  <c r="I35" i="3"/>
  <c r="H22" i="9" s="1"/>
  <c r="H35" i="3"/>
  <c r="G22" i="9" s="1"/>
  <c r="E35" i="3"/>
  <c r="D22" i="9" s="1"/>
  <c r="D35" i="3"/>
  <c r="C22" i="9" s="1"/>
  <c r="C35" i="3"/>
  <c r="B22" i="9" s="1"/>
  <c r="O34" i="3"/>
  <c r="O4" i="5" s="1"/>
  <c r="D4" i="7" s="1"/>
  <c r="G35" i="3"/>
  <c r="F22" i="9" s="1"/>
  <c r="S39" i="5" l="1"/>
  <c r="S46" i="5"/>
  <c r="S48" i="5"/>
  <c r="Q49" i="3"/>
  <c r="O28" i="5" s="1"/>
  <c r="O10" i="5"/>
  <c r="D12" i="7" s="1"/>
  <c r="O19" i="5"/>
  <c r="D24" i="7" s="1"/>
  <c r="O8" i="5"/>
  <c r="D10" i="7" s="1"/>
  <c r="D35" i="7" s="1"/>
  <c r="O17" i="5"/>
  <c r="D22" i="7" s="1"/>
  <c r="O21" i="5"/>
  <c r="D26" i="7" s="1"/>
  <c r="D45" i="7" s="1"/>
  <c r="O18" i="5"/>
  <c r="D23" i="7" s="1"/>
  <c r="O23" i="5"/>
  <c r="D28" i="7" s="1"/>
  <c r="O16" i="5"/>
  <c r="D21" i="7" s="1"/>
  <c r="O24" i="5"/>
  <c r="D29" i="7" s="1"/>
  <c r="D14" i="7"/>
  <c r="D38" i="7" s="1"/>
  <c r="N21" i="4"/>
  <c r="N31" i="4"/>
  <c r="O45" i="5" s="1"/>
  <c r="S45" i="5" s="1"/>
  <c r="N30" i="4"/>
  <c r="O44" i="5" s="1"/>
  <c r="S44" i="5" s="1"/>
  <c r="Q51" i="3"/>
  <c r="O30" i="5" s="1"/>
  <c r="F57" i="3"/>
  <c r="E13" i="9" s="1"/>
  <c r="N57" i="3"/>
  <c r="M13" i="9" s="1"/>
  <c r="O52" i="3"/>
  <c r="Q52" i="3" s="1"/>
  <c r="O31" i="5" s="1"/>
  <c r="H57" i="3"/>
  <c r="G13" i="9" s="1"/>
  <c r="O38" i="3"/>
  <c r="Q48" i="3" s="1"/>
  <c r="O40" i="3"/>
  <c r="O33" i="3"/>
  <c r="F45" i="3"/>
  <c r="E4" i="9" s="1"/>
  <c r="N4" i="9" s="1"/>
  <c r="F35" i="3"/>
  <c r="E22" i="9" s="1"/>
  <c r="N22" i="9" s="1"/>
  <c r="G28" i="7"/>
  <c r="N81" i="3"/>
  <c r="N79" i="3"/>
  <c r="N69" i="3"/>
  <c r="N78" i="3"/>
  <c r="N68" i="3"/>
  <c r="D41" i="7" l="1"/>
  <c r="N26" i="4"/>
  <c r="O37" i="5"/>
  <c r="S37" i="5" s="1"/>
  <c r="N13" i="9"/>
  <c r="O7" i="5"/>
  <c r="D9" i="7" s="1"/>
  <c r="P33" i="3"/>
  <c r="P3" i="5" s="1"/>
  <c r="O3" i="5"/>
  <c r="Q3" i="5" s="1"/>
  <c r="Q50" i="3"/>
  <c r="O29" i="5" s="1"/>
  <c r="O34" i="5" s="1"/>
  <c r="O9" i="5"/>
  <c r="D11" i="7" s="1"/>
  <c r="O20" i="5"/>
  <c r="N35" i="4"/>
  <c r="O57" i="3"/>
  <c r="P48" i="3" s="1"/>
  <c r="O45" i="3"/>
  <c r="P40" i="3" s="1"/>
  <c r="P34" i="3"/>
  <c r="P4" i="5" s="1"/>
  <c r="O35" i="3"/>
  <c r="D121" i="3"/>
  <c r="C7" i="9" s="1"/>
  <c r="E121" i="3"/>
  <c r="D7" i="9" s="1"/>
  <c r="F121" i="3"/>
  <c r="E7" i="9" s="1"/>
  <c r="G121" i="3"/>
  <c r="F7" i="9" s="1"/>
  <c r="H121" i="3"/>
  <c r="G7" i="9" s="1"/>
  <c r="I121" i="3"/>
  <c r="H7" i="9" s="1"/>
  <c r="L121" i="3"/>
  <c r="K7" i="9" s="1"/>
  <c r="M121" i="3"/>
  <c r="L7" i="9" s="1"/>
  <c r="C121" i="3"/>
  <c r="B7" i="9" s="1"/>
  <c r="D98" i="3"/>
  <c r="C6" i="9" s="1"/>
  <c r="E98" i="3"/>
  <c r="D6" i="9" s="1"/>
  <c r="F98" i="3"/>
  <c r="E6" i="9" s="1"/>
  <c r="G98" i="3"/>
  <c r="F6" i="9" s="1"/>
  <c r="H98" i="3"/>
  <c r="G6" i="9" s="1"/>
  <c r="I98" i="3"/>
  <c r="H6" i="9" s="1"/>
  <c r="J98" i="3"/>
  <c r="I6" i="9" s="1"/>
  <c r="K98" i="3"/>
  <c r="J6" i="9" s="1"/>
  <c r="L98" i="3"/>
  <c r="K6" i="9" s="1"/>
  <c r="M98" i="3"/>
  <c r="L6" i="9" s="1"/>
  <c r="N98" i="3"/>
  <c r="M6" i="9" s="1"/>
  <c r="C98" i="3"/>
  <c r="B6" i="9" s="1"/>
  <c r="D107" i="3"/>
  <c r="C15" i="9" s="1"/>
  <c r="E107" i="3"/>
  <c r="D15" i="9" s="1"/>
  <c r="F107" i="3"/>
  <c r="E15" i="9" s="1"/>
  <c r="G107" i="3"/>
  <c r="F15" i="9" s="1"/>
  <c r="H107" i="3"/>
  <c r="G15" i="9" s="1"/>
  <c r="I107" i="3"/>
  <c r="H15" i="9" s="1"/>
  <c r="J107" i="3"/>
  <c r="I15" i="9" s="1"/>
  <c r="K107" i="3"/>
  <c r="J15" i="9" s="1"/>
  <c r="L107" i="3"/>
  <c r="K15" i="9" s="1"/>
  <c r="M107" i="3"/>
  <c r="L15" i="9" s="1"/>
  <c r="N107" i="3"/>
  <c r="M15" i="9" s="1"/>
  <c r="C107" i="3"/>
  <c r="B15" i="9" s="1"/>
  <c r="H50" i="4"/>
  <c r="N50" i="4" s="1"/>
  <c r="L48" i="5" s="1"/>
  <c r="P48" i="5" s="1"/>
  <c r="H49" i="4"/>
  <c r="H51" i="4" s="1"/>
  <c r="E49" i="4"/>
  <c r="E51" i="4" s="1"/>
  <c r="D49" i="4"/>
  <c r="D51" i="4" s="1"/>
  <c r="G48" i="4"/>
  <c r="F48" i="4"/>
  <c r="G47" i="4"/>
  <c r="F47" i="4"/>
  <c r="G51" i="4" l="1"/>
  <c r="D34" i="7"/>
  <c r="D36" i="7"/>
  <c r="O25" i="5"/>
  <c r="D25" i="7"/>
  <c r="D17" i="7"/>
  <c r="O5" i="5"/>
  <c r="D3" i="7"/>
  <c r="D5" i="7" s="1"/>
  <c r="O14" i="5"/>
  <c r="N6" i="9"/>
  <c r="P42" i="3"/>
  <c r="P41" i="3"/>
  <c r="P39" i="3"/>
  <c r="P43" i="3"/>
  <c r="N15" i="9"/>
  <c r="P54" i="3"/>
  <c r="P22" i="5" s="1"/>
  <c r="P50" i="3"/>
  <c r="P18" i="5" s="1"/>
  <c r="P53" i="3"/>
  <c r="P21" i="5" s="1"/>
  <c r="P51" i="3"/>
  <c r="P19" i="5" s="1"/>
  <c r="P55" i="3"/>
  <c r="P23" i="5" s="1"/>
  <c r="P56" i="3"/>
  <c r="P24" i="5" s="1"/>
  <c r="P49" i="3"/>
  <c r="P17" i="5" s="1"/>
  <c r="P16" i="5"/>
  <c r="P52" i="3"/>
  <c r="P20" i="5" s="1"/>
  <c r="P38" i="3"/>
  <c r="P7" i="5" s="1"/>
  <c r="N47" i="4"/>
  <c r="L44" i="5" s="1"/>
  <c r="P44" i="5" s="1"/>
  <c r="F51" i="4"/>
  <c r="N49" i="4"/>
  <c r="L46" i="5" s="1"/>
  <c r="N48" i="4"/>
  <c r="L45" i="5" s="1"/>
  <c r="P46" i="5" l="1"/>
  <c r="D43" i="7"/>
  <c r="P45" i="5"/>
  <c r="D42" i="7"/>
  <c r="N51" i="4"/>
  <c r="H42" i="4" l="1"/>
  <c r="H43" i="4" s="1"/>
  <c r="G39" i="4" l="1"/>
  <c r="G43" i="4" s="1"/>
  <c r="H81" i="3"/>
  <c r="D73" i="3" l="1"/>
  <c r="C5" i="9" s="1"/>
  <c r="E73" i="3"/>
  <c r="D5" i="9" s="1"/>
  <c r="H73" i="3"/>
  <c r="G5" i="9" s="1"/>
  <c r="I73" i="3"/>
  <c r="H5" i="9" s="1"/>
  <c r="J73" i="3"/>
  <c r="I5" i="9" s="1"/>
  <c r="K73" i="3"/>
  <c r="J5" i="9" s="1"/>
  <c r="L73" i="3"/>
  <c r="K5" i="9" s="1"/>
  <c r="M73" i="3"/>
  <c r="L5" i="9" s="1"/>
  <c r="N73" i="3"/>
  <c r="M5" i="9" s="1"/>
  <c r="C73" i="3"/>
  <c r="B5" i="9" s="1"/>
  <c r="E84" i="3"/>
  <c r="D14" i="9" s="1"/>
  <c r="H84" i="3"/>
  <c r="G14" i="9" s="1"/>
  <c r="I84" i="3"/>
  <c r="H14" i="9" s="1"/>
  <c r="J84" i="3"/>
  <c r="I14" i="9" s="1"/>
  <c r="K84" i="3"/>
  <c r="J14" i="9" s="1"/>
  <c r="L84" i="3"/>
  <c r="K14" i="9" s="1"/>
  <c r="M84" i="3"/>
  <c r="L14" i="9" s="1"/>
  <c r="N84" i="3"/>
  <c r="M14" i="9" s="1"/>
  <c r="C84" i="3"/>
  <c r="B14" i="9" s="1"/>
  <c r="D63" i="3"/>
  <c r="C23" i="9" s="1"/>
  <c r="E63" i="3"/>
  <c r="D23" i="9" s="1"/>
  <c r="H63" i="3"/>
  <c r="G23" i="9" s="1"/>
  <c r="I63" i="3"/>
  <c r="H23" i="9" s="1"/>
  <c r="J63" i="3"/>
  <c r="I23" i="9" s="1"/>
  <c r="K63" i="3"/>
  <c r="J23" i="9" s="1"/>
  <c r="L63" i="3"/>
  <c r="K23" i="9" s="1"/>
  <c r="M63" i="3"/>
  <c r="L23" i="9" s="1"/>
  <c r="N63" i="3"/>
  <c r="M23" i="9" s="1"/>
  <c r="C63" i="3"/>
  <c r="B23" i="9" s="1"/>
  <c r="G68" i="3" l="1"/>
  <c r="G79" i="3"/>
  <c r="O79" i="3" s="1"/>
  <c r="E24" i="7" l="1"/>
  <c r="I24" i="7" s="1"/>
  <c r="G78" i="3"/>
  <c r="G69" i="3"/>
  <c r="F40" i="4"/>
  <c r="F39" i="4"/>
  <c r="G82" i="3"/>
  <c r="G77" i="3"/>
  <c r="G76" i="3"/>
  <c r="G67" i="3"/>
  <c r="G66" i="3"/>
  <c r="G61" i="3"/>
  <c r="G63" i="3" s="1"/>
  <c r="F23" i="9" s="1"/>
  <c r="N39" i="4" l="1"/>
  <c r="L37" i="5" s="1"/>
  <c r="P37" i="5" s="1"/>
  <c r="F43" i="4"/>
  <c r="G73" i="3"/>
  <c r="F5" i="9" s="1"/>
  <c r="G84" i="3"/>
  <c r="F14" i="9" s="1"/>
  <c r="O81" i="3"/>
  <c r="O71" i="3"/>
  <c r="E14" i="7" s="1"/>
  <c r="I14" i="7" l="1"/>
  <c r="K14" i="7"/>
  <c r="E26" i="7"/>
  <c r="E45" i="7" s="1"/>
  <c r="Q81" i="3"/>
  <c r="L31" i="5" s="1"/>
  <c r="N31" i="5" s="1"/>
  <c r="L12" i="5"/>
  <c r="L21" i="5"/>
  <c r="N41" i="4"/>
  <c r="L39" i="5" s="1"/>
  <c r="P39" i="5" s="1"/>
  <c r="N42" i="4"/>
  <c r="L41" i="5" s="1"/>
  <c r="P41" i="5" s="1"/>
  <c r="N40" i="4"/>
  <c r="L38" i="5" s="1"/>
  <c r="P38" i="5" s="1"/>
  <c r="E38" i="7" l="1"/>
  <c r="K26" i="7"/>
  <c r="I26" i="7"/>
  <c r="N43" i="4"/>
  <c r="F83" i="3"/>
  <c r="F78" i="3"/>
  <c r="F69" i="3"/>
  <c r="F68" i="3"/>
  <c r="F77" i="3" l="1"/>
  <c r="F76" i="3"/>
  <c r="F67" i="3"/>
  <c r="F66" i="3"/>
  <c r="F61" i="3"/>
  <c r="F63" i="3" s="1"/>
  <c r="E23" i="9" s="1"/>
  <c r="N23" i="9" s="1"/>
  <c r="F73" i="3" l="1"/>
  <c r="E5" i="9" s="1"/>
  <c r="N5" i="9" s="1"/>
  <c r="F84" i="3"/>
  <c r="E14" i="9" s="1"/>
  <c r="D80" i="3"/>
  <c r="D84" i="3" s="1"/>
  <c r="C14" i="9" s="1"/>
  <c r="N14" i="9" l="1"/>
  <c r="O83" i="3"/>
  <c r="O82" i="3"/>
  <c r="O80" i="3"/>
  <c r="E25" i="7" s="1"/>
  <c r="I25" i="7" s="1"/>
  <c r="O78" i="3"/>
  <c r="O77" i="3"/>
  <c r="O76" i="3"/>
  <c r="O72" i="3"/>
  <c r="E16" i="7" s="1"/>
  <c r="O70" i="3"/>
  <c r="E13" i="7" s="1"/>
  <c r="I13" i="7" s="1"/>
  <c r="O69" i="3"/>
  <c r="E12" i="7" s="1"/>
  <c r="I12" i="7" s="1"/>
  <c r="O68" i="3"/>
  <c r="E11" i="7" s="1"/>
  <c r="O67" i="3"/>
  <c r="E10" i="7" s="1"/>
  <c r="O66" i="3"/>
  <c r="O62" i="3"/>
  <c r="E4" i="7" s="1"/>
  <c r="I4" i="7" s="1"/>
  <c r="O61" i="3"/>
  <c r="E3" i="7" s="1"/>
  <c r="I3" i="7" s="1"/>
  <c r="I10" i="7" l="1"/>
  <c r="E35" i="7"/>
  <c r="I11" i="7"/>
  <c r="E36" i="7"/>
  <c r="E9" i="7"/>
  <c r="E34" i="7" s="1"/>
  <c r="R70" i="3"/>
  <c r="E5" i="7"/>
  <c r="I5" i="7" s="1"/>
  <c r="E21" i="7"/>
  <c r="E28" i="7"/>
  <c r="I28" i="7" s="1"/>
  <c r="E22" i="7"/>
  <c r="E23" i="7"/>
  <c r="E29" i="7"/>
  <c r="I29" i="7" s="1"/>
  <c r="L20" i="5"/>
  <c r="N20" i="5" s="1"/>
  <c r="Q79" i="3"/>
  <c r="L30" i="5" s="1"/>
  <c r="N30" i="5" s="1"/>
  <c r="O63" i="3"/>
  <c r="O84" i="3"/>
  <c r="O73" i="3"/>
  <c r="L17" i="5"/>
  <c r="N17" i="5" s="1"/>
  <c r="Q77" i="3"/>
  <c r="L28" i="5" s="1"/>
  <c r="N28" i="5" s="1"/>
  <c r="L9" i="5"/>
  <c r="N9" i="5" s="1"/>
  <c r="Q80" i="3"/>
  <c r="L32" i="5" s="1"/>
  <c r="N32" i="5" s="1"/>
  <c r="L16" i="5"/>
  <c r="N16" i="5" s="1"/>
  <c r="R81" i="3"/>
  <c r="P62" i="3"/>
  <c r="M4" i="5" s="1"/>
  <c r="P61" i="3"/>
  <c r="M3" i="5" s="1"/>
  <c r="L23" i="5"/>
  <c r="N23" i="5" s="1"/>
  <c r="L10" i="5"/>
  <c r="N10" i="5" s="1"/>
  <c r="L8" i="5"/>
  <c r="N8" i="5" s="1"/>
  <c r="L19" i="5"/>
  <c r="N19" i="5" s="1"/>
  <c r="L18" i="5"/>
  <c r="N18" i="5" s="1"/>
  <c r="L24" i="5"/>
  <c r="N24" i="5" s="1"/>
  <c r="L4" i="5"/>
  <c r="N4" i="5" s="1"/>
  <c r="L3" i="5"/>
  <c r="N3" i="5" s="1"/>
  <c r="L11" i="5"/>
  <c r="N11" i="5" s="1"/>
  <c r="L7" i="5"/>
  <c r="N7" i="5" s="1"/>
  <c r="L13" i="5"/>
  <c r="N13" i="5" s="1"/>
  <c r="Q78" i="3"/>
  <c r="L29" i="5" s="1"/>
  <c r="N29" i="5" s="1"/>
  <c r="Q76" i="3"/>
  <c r="I22" i="7" l="1"/>
  <c r="E42" i="7"/>
  <c r="I21" i="7"/>
  <c r="E41" i="7"/>
  <c r="I23" i="7"/>
  <c r="E43" i="7"/>
  <c r="E17" i="7"/>
  <c r="I17" i="7" s="1"/>
  <c r="I9" i="7"/>
  <c r="L27" i="5"/>
  <c r="P10" i="5"/>
  <c r="P9" i="5"/>
  <c r="K28" i="7"/>
  <c r="E30" i="7"/>
  <c r="L5" i="5"/>
  <c r="L25" i="5"/>
  <c r="L51" i="5" s="1"/>
  <c r="L14" i="5"/>
  <c r="P80" i="3"/>
  <c r="P77" i="3"/>
  <c r="P81" i="3"/>
  <c r="P78" i="3"/>
  <c r="P82" i="3"/>
  <c r="P79" i="3"/>
  <c r="P83" i="3"/>
  <c r="P76" i="3"/>
  <c r="P70" i="3"/>
  <c r="M11" i="5" s="1"/>
  <c r="P67" i="3"/>
  <c r="M8" i="5" s="1"/>
  <c r="P71" i="3"/>
  <c r="M12" i="5" s="1"/>
  <c r="P68" i="3"/>
  <c r="M9" i="5" s="1"/>
  <c r="P72" i="3"/>
  <c r="M13" i="5" s="1"/>
  <c r="P69" i="3"/>
  <c r="M10" i="5" s="1"/>
  <c r="P66" i="3"/>
  <c r="M7" i="5" s="1"/>
  <c r="Q21" i="1"/>
  <c r="I30" i="7" l="1"/>
  <c r="N27" i="5"/>
  <c r="L34" i="5"/>
  <c r="P8" i="5"/>
  <c r="P45" i="3"/>
  <c r="M24" i="5"/>
  <c r="M21" i="5"/>
  <c r="M19" i="5"/>
  <c r="M17" i="5"/>
  <c r="M23" i="5"/>
  <c r="M20" i="5"/>
  <c r="M16" i="5"/>
  <c r="M18" i="5"/>
  <c r="N88" i="3" l="1"/>
  <c r="N90" i="3" s="1"/>
  <c r="M24" i="9" s="1"/>
  <c r="N24" i="9" s="1"/>
  <c r="N27" i="9" s="1"/>
  <c r="F23" i="5" l="1"/>
  <c r="D127" i="3"/>
  <c r="D130" i="3" s="1"/>
  <c r="C16" i="9" s="1"/>
  <c r="O105" i="3"/>
  <c r="F28" i="7" s="1"/>
  <c r="J28" i="7" s="1"/>
  <c r="O129" i="3"/>
  <c r="O151" i="3"/>
  <c r="C23" i="5" s="1"/>
  <c r="O152" i="3"/>
  <c r="C24" i="5" s="1"/>
  <c r="O106" i="3"/>
  <c r="F29" i="7" s="1"/>
  <c r="J29" i="7" s="1"/>
  <c r="N118" i="3"/>
  <c r="N121" i="3" s="1"/>
  <c r="M7" i="9" s="1"/>
  <c r="K126" i="3"/>
  <c r="K118" i="3"/>
  <c r="J126" i="3"/>
  <c r="J130" i="3" s="1"/>
  <c r="J118" i="3"/>
  <c r="K125" i="3"/>
  <c r="K130" i="3" s="1"/>
  <c r="J16" i="9" s="1"/>
  <c r="K117" i="3"/>
  <c r="O150" i="3"/>
  <c r="O149" i="3"/>
  <c r="C19" i="5" s="1"/>
  <c r="O148" i="3"/>
  <c r="C18" i="5" s="1"/>
  <c r="O147" i="3"/>
  <c r="O146" i="3"/>
  <c r="O143" i="3"/>
  <c r="C13" i="5" s="1"/>
  <c r="O142" i="3"/>
  <c r="C11" i="5" s="1"/>
  <c r="O141" i="3"/>
  <c r="C10" i="5" s="1"/>
  <c r="O140" i="3"/>
  <c r="O139" i="3"/>
  <c r="C8" i="5" s="1"/>
  <c r="O138" i="3"/>
  <c r="O135" i="3"/>
  <c r="C4" i="5" s="1"/>
  <c r="O134" i="3"/>
  <c r="O124" i="3"/>
  <c r="O123" i="3"/>
  <c r="O120" i="3"/>
  <c r="O119" i="3"/>
  <c r="O116" i="3"/>
  <c r="O115" i="3"/>
  <c r="O112" i="3"/>
  <c r="O111" i="3"/>
  <c r="O89" i="3"/>
  <c r="F4" i="7" s="1"/>
  <c r="J4" i="7" s="1"/>
  <c r="O94" i="3"/>
  <c r="F11" i="7" s="1"/>
  <c r="J11" i="7" s="1"/>
  <c r="O95" i="3"/>
  <c r="F12" i="7" s="1"/>
  <c r="J12" i="7" s="1"/>
  <c r="O96" i="3"/>
  <c r="F13" i="7" s="1"/>
  <c r="J13" i="7" s="1"/>
  <c r="O97" i="3"/>
  <c r="F16" i="7" s="1"/>
  <c r="J16" i="7" s="1"/>
  <c r="O102" i="3"/>
  <c r="F23" i="7" s="1"/>
  <c r="J23" i="7" s="1"/>
  <c r="O103" i="3"/>
  <c r="F24" i="7" s="1"/>
  <c r="J24" i="7" s="1"/>
  <c r="O104" i="3"/>
  <c r="F25" i="7" s="1"/>
  <c r="J25" i="7" s="1"/>
  <c r="O88" i="3"/>
  <c r="Q123" i="3"/>
  <c r="F27" i="5" s="1"/>
  <c r="O101" i="3"/>
  <c r="O100" i="3"/>
  <c r="F21" i="7" s="1"/>
  <c r="O93" i="3"/>
  <c r="F10" i="7" s="1"/>
  <c r="J10" i="7" s="1"/>
  <c r="O92" i="3"/>
  <c r="F9" i="7" s="1"/>
  <c r="P18" i="1"/>
  <c r="U16" i="1"/>
  <c r="U17" i="1"/>
  <c r="Q20" i="1"/>
  <c r="U20" i="1" s="1"/>
  <c r="N20" i="1"/>
  <c r="P20" i="1"/>
  <c r="F18" i="1"/>
  <c r="U18" i="1" s="1"/>
  <c r="E18" i="1"/>
  <c r="U19" i="1"/>
  <c r="N19" i="1"/>
  <c r="N18" i="1"/>
  <c r="N17" i="1"/>
  <c r="N16" i="1"/>
  <c r="N15" i="1"/>
  <c r="N14" i="1"/>
  <c r="N13" i="1"/>
  <c r="N12" i="1"/>
  <c r="N11" i="1"/>
  <c r="N10" i="1"/>
  <c r="N9" i="1"/>
  <c r="N8" i="1"/>
  <c r="N7" i="1"/>
  <c r="N6" i="1"/>
  <c r="N5" i="1"/>
  <c r="N4" i="1"/>
  <c r="N3" i="1"/>
  <c r="I16" i="9" l="1"/>
  <c r="N16" i="9" s="1"/>
  <c r="N18" i="9" s="1"/>
  <c r="R130" i="3"/>
  <c r="P111" i="3"/>
  <c r="G3" i="5" s="1"/>
  <c r="O113" i="3"/>
  <c r="O136" i="3"/>
  <c r="O153" i="3"/>
  <c r="C7" i="5"/>
  <c r="O144" i="3"/>
  <c r="F3" i="7"/>
  <c r="F5" i="7" s="1"/>
  <c r="J5" i="7" s="1"/>
  <c r="O90" i="3"/>
  <c r="F22" i="7"/>
  <c r="J22" i="7" s="1"/>
  <c r="F8" i="5"/>
  <c r="E8" i="5" s="1"/>
  <c r="G10" i="7"/>
  <c r="K10" i="7" s="1"/>
  <c r="F17" i="5"/>
  <c r="G22" i="7"/>
  <c r="K22" i="7" s="1"/>
  <c r="G29" i="7"/>
  <c r="K29" i="7" s="1"/>
  <c r="F17" i="7"/>
  <c r="J17" i="7" s="1"/>
  <c r="J9" i="7"/>
  <c r="F3" i="5"/>
  <c r="G3" i="7"/>
  <c r="G13" i="7"/>
  <c r="K13" i="7" s="1"/>
  <c r="F4" i="5"/>
  <c r="E4" i="5" s="1"/>
  <c r="G4" i="7"/>
  <c r="K4" i="7" s="1"/>
  <c r="F13" i="5"/>
  <c r="G16" i="7"/>
  <c r="K16" i="7" s="1"/>
  <c r="O127" i="3"/>
  <c r="Q127" i="3" s="1"/>
  <c r="F32" i="5" s="1"/>
  <c r="J21" i="7"/>
  <c r="P112" i="3"/>
  <c r="G4" i="5" s="1"/>
  <c r="G9" i="7"/>
  <c r="K9" i="7" s="1"/>
  <c r="F16" i="5"/>
  <c r="G21" i="7"/>
  <c r="K21" i="7" s="1"/>
  <c r="J121" i="3"/>
  <c r="K121" i="3"/>
  <c r="J7" i="9" s="1"/>
  <c r="O125" i="3"/>
  <c r="O98" i="3"/>
  <c r="O117" i="3"/>
  <c r="P142" i="3"/>
  <c r="D11" i="5" s="1"/>
  <c r="P143" i="3"/>
  <c r="D13" i="5" s="1"/>
  <c r="I7" i="5"/>
  <c r="K7" i="5" s="1"/>
  <c r="P92" i="3"/>
  <c r="J7" i="5" s="1"/>
  <c r="G21" i="1"/>
  <c r="I13" i="5"/>
  <c r="I24" i="5"/>
  <c r="K24" i="5" s="1"/>
  <c r="I23" i="5"/>
  <c r="K23" i="5" s="1"/>
  <c r="O21" i="1"/>
  <c r="I20" i="5"/>
  <c r="K20" i="5" s="1"/>
  <c r="D21" i="1"/>
  <c r="F21" i="1"/>
  <c r="O107" i="3"/>
  <c r="H21" i="1"/>
  <c r="I19" i="5"/>
  <c r="K19" i="5" s="1"/>
  <c r="L21" i="1"/>
  <c r="K21" i="1"/>
  <c r="I8" i="5"/>
  <c r="P93" i="3"/>
  <c r="J8" i="5" s="1"/>
  <c r="E21" i="1"/>
  <c r="B21" i="1"/>
  <c r="I16" i="5"/>
  <c r="K16" i="5" s="1"/>
  <c r="I17" i="5"/>
  <c r="K17" i="5" s="1"/>
  <c r="I18" i="5"/>
  <c r="K18" i="5" s="1"/>
  <c r="J21" i="1"/>
  <c r="I9" i="5"/>
  <c r="K9" i="5" s="1"/>
  <c r="I21" i="1"/>
  <c r="O126" i="3"/>
  <c r="O118" i="3"/>
  <c r="E23" i="5"/>
  <c r="Q104" i="3"/>
  <c r="I32" i="5" s="1"/>
  <c r="K32" i="5" s="1"/>
  <c r="P106" i="3"/>
  <c r="J24" i="5" s="1"/>
  <c r="I11" i="5"/>
  <c r="K11" i="5" s="1"/>
  <c r="P88" i="3"/>
  <c r="J3" i="5" s="1"/>
  <c r="Q102" i="3"/>
  <c r="I29" i="5" s="1"/>
  <c r="K29" i="5" s="1"/>
  <c r="P97" i="3"/>
  <c r="J13" i="5" s="1"/>
  <c r="P94" i="3"/>
  <c r="J9" i="5" s="1"/>
  <c r="Q103" i="3"/>
  <c r="I30" i="5" s="1"/>
  <c r="K30" i="5" s="1"/>
  <c r="P105" i="3"/>
  <c r="J23" i="5" s="1"/>
  <c r="I10" i="5"/>
  <c r="K10" i="5" s="1"/>
  <c r="P95" i="3"/>
  <c r="J10" i="5" s="1"/>
  <c r="P134" i="3"/>
  <c r="D3" i="5" s="1"/>
  <c r="C3" i="5"/>
  <c r="C5" i="5" s="1"/>
  <c r="P151" i="3"/>
  <c r="D23" i="5" s="1"/>
  <c r="Q146" i="3"/>
  <c r="C27" i="5" s="1"/>
  <c r="Q150" i="3"/>
  <c r="C32" i="5" s="1"/>
  <c r="P150" i="3"/>
  <c r="D20" i="5" s="1"/>
  <c r="F24" i="5"/>
  <c r="E24" i="5" s="1"/>
  <c r="P146" i="3"/>
  <c r="D16" i="5" s="1"/>
  <c r="P149" i="3"/>
  <c r="D19" i="5" s="1"/>
  <c r="F11" i="5"/>
  <c r="E11" i="5" s="1"/>
  <c r="P141" i="3"/>
  <c r="D10" i="5" s="1"/>
  <c r="P147" i="3"/>
  <c r="D17" i="5" s="1"/>
  <c r="Q147" i="3"/>
  <c r="C28" i="5" s="1"/>
  <c r="C17" i="5"/>
  <c r="C9" i="5"/>
  <c r="Q100" i="3"/>
  <c r="I27" i="5" s="1"/>
  <c r="P100" i="3"/>
  <c r="J16" i="5" s="1"/>
  <c r="P104" i="3"/>
  <c r="J20" i="5" s="1"/>
  <c r="P101" i="3"/>
  <c r="J17" i="5" s="1"/>
  <c r="Q101" i="3"/>
  <c r="I28" i="5" s="1"/>
  <c r="K28" i="5" s="1"/>
  <c r="Q148" i="3"/>
  <c r="C29" i="5" s="1"/>
  <c r="Q149" i="3"/>
  <c r="C30" i="5" s="1"/>
  <c r="P135" i="3"/>
  <c r="D4" i="5" s="1"/>
  <c r="P152" i="3"/>
  <c r="D24" i="5" s="1"/>
  <c r="C16" i="5"/>
  <c r="I3" i="5"/>
  <c r="P103" i="3"/>
  <c r="J19" i="5" s="1"/>
  <c r="Q124" i="3"/>
  <c r="F28" i="5" s="1"/>
  <c r="P140" i="3"/>
  <c r="D9" i="5" s="1"/>
  <c r="P148" i="3"/>
  <c r="D18" i="5" s="1"/>
  <c r="P96" i="3"/>
  <c r="J11" i="5" s="1"/>
  <c r="I4" i="5"/>
  <c r="P89" i="3"/>
  <c r="J4" i="5" s="1"/>
  <c r="F7" i="5"/>
  <c r="C20" i="5"/>
  <c r="P102" i="3"/>
  <c r="J18" i="5" s="1"/>
  <c r="P139" i="3"/>
  <c r="D8" i="5" s="1"/>
  <c r="P138" i="3"/>
  <c r="D7" i="5" s="1"/>
  <c r="I7" i="9" l="1"/>
  <c r="N7" i="9" s="1"/>
  <c r="N9" i="9" s="1"/>
  <c r="R121" i="3"/>
  <c r="I34" i="5"/>
  <c r="C34" i="5"/>
  <c r="E27" i="5"/>
  <c r="J3" i="7"/>
  <c r="O130" i="3"/>
  <c r="F5" i="5"/>
  <c r="E17" i="5"/>
  <c r="F30" i="7"/>
  <c r="J30" i="7" s="1"/>
  <c r="H13" i="5"/>
  <c r="F20" i="5"/>
  <c r="H20" i="5" s="1"/>
  <c r="G25" i="7"/>
  <c r="K25" i="7" s="1"/>
  <c r="G5" i="7"/>
  <c r="K5" i="7" s="1"/>
  <c r="K3" i="7"/>
  <c r="H8" i="5"/>
  <c r="K13" i="5"/>
  <c r="K8" i="5"/>
  <c r="P125" i="3"/>
  <c r="G18" i="5" s="1"/>
  <c r="G24" i="7"/>
  <c r="K24" i="7" s="1"/>
  <c r="F9" i="5"/>
  <c r="E9" i="5" s="1"/>
  <c r="G11" i="7"/>
  <c r="O121" i="3"/>
  <c r="P118" i="3"/>
  <c r="G10" i="5" s="1"/>
  <c r="G12" i="7"/>
  <c r="K12" i="7" s="1"/>
  <c r="H16" i="5"/>
  <c r="G23" i="7"/>
  <c r="Q125" i="3"/>
  <c r="F29" i="5" s="1"/>
  <c r="E29" i="5" s="1"/>
  <c r="F18" i="5"/>
  <c r="E18" i="5" s="1"/>
  <c r="H23" i="5"/>
  <c r="I25" i="5"/>
  <c r="H17" i="5"/>
  <c r="U21" i="1"/>
  <c r="N21" i="1"/>
  <c r="C25" i="5"/>
  <c r="C14" i="5"/>
  <c r="I5" i="5"/>
  <c r="I14" i="5"/>
  <c r="P119" i="3"/>
  <c r="G11" i="5" s="1"/>
  <c r="E7" i="5"/>
  <c r="E3" i="5"/>
  <c r="E16" i="5"/>
  <c r="H27" i="5"/>
  <c r="K27" i="5"/>
  <c r="H3" i="5"/>
  <c r="K3" i="5"/>
  <c r="H4" i="5"/>
  <c r="K4" i="5"/>
  <c r="E28" i="5"/>
  <c r="E32" i="5"/>
  <c r="P126" i="3"/>
  <c r="G19" i="5" s="1"/>
  <c r="P129" i="3"/>
  <c r="G24" i="5" s="1"/>
  <c r="F19" i="5"/>
  <c r="E19" i="5" s="1"/>
  <c r="P123" i="3"/>
  <c r="G16" i="5" s="1"/>
  <c r="P124" i="3"/>
  <c r="G17" i="5" s="1"/>
  <c r="F10" i="5"/>
  <c r="E10" i="5" s="1"/>
  <c r="P127" i="3"/>
  <c r="G20" i="5" s="1"/>
  <c r="P128" i="3"/>
  <c r="G23" i="5" s="1"/>
  <c r="Q126" i="3"/>
  <c r="F30" i="5" s="1"/>
  <c r="P120" i="3"/>
  <c r="G13" i="5" s="1"/>
  <c r="H24" i="5"/>
  <c r="H7" i="5"/>
  <c r="H28" i="5"/>
  <c r="H11" i="5"/>
  <c r="P116" i="3"/>
  <c r="G8" i="5" s="1"/>
  <c r="P117" i="3"/>
  <c r="G9" i="5" s="1"/>
  <c r="P115" i="3"/>
  <c r="G7" i="5" s="1"/>
  <c r="H32" i="5"/>
  <c r="H29" i="5" l="1"/>
  <c r="F34" i="5"/>
  <c r="E20" i="5"/>
  <c r="H18" i="5"/>
  <c r="H9" i="5"/>
  <c r="G30" i="7"/>
  <c r="K30" i="7" s="1"/>
  <c r="K23" i="7"/>
  <c r="G17" i="7"/>
  <c r="K17" i="7" s="1"/>
  <c r="K11" i="7"/>
  <c r="F25" i="5"/>
  <c r="F14" i="5"/>
  <c r="H30" i="5"/>
  <c r="E30" i="5"/>
  <c r="H10" i="5"/>
  <c r="H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tc={5C56A2B2-B941-4D79-80C2-F01843DB0943}</author>
    <author>tc={1B1627FB-677D-4BBF-8CE3-62C43FCA028B}</author>
    <author>tc={13072D1D-067D-442A-8240-ADF69F9A5212}</author>
    <author>tc={8626C32C-2124-46DA-95FA-7BDE0A408790}</author>
    <author>tc={2AED41E8-0162-4D20-AF97-9913FAF5C86C}</author>
    <author>tc={A58D4B14-6151-420F-A877-A39ED3400230}</author>
    <author>tc={79EA2BE1-1826-4CE6-908C-96ED1FB5C951}</author>
    <author>tc={0FEB766A-C899-4539-84EF-F8813A5813B0}</author>
    <author>tc={74A59FA0-A2CE-4543-9229-6E7B4154BAB7}</author>
    <author>tc={2D431436-2086-4196-A6E9-F5F411D9419F}</author>
    <author>tc={534EF98D-CAB2-47B0-A8D1-D1863B01D17A}</author>
    <author>tc={8CF648E8-E736-4777-B316-57352D046F83}</author>
    <author>tc={B10FA439-7E85-40D4-88B5-A5B122F0E3E8}</author>
  </authors>
  <commentList>
    <comment ref="F2" authorId="0" shapeId="0" xr:uid="{5C56A2B2-B941-4D79-80C2-F01843DB0943}">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F32" authorId="1" shapeId="0" xr:uid="{1B1627FB-677D-4BBF-8CE3-62C43FCA028B}">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M43" authorId="2" shapeId="0" xr:uid="{13072D1D-067D-442A-8240-ADF69F9A5212}">
      <text>
        <t>[Comentari en fils]
La vostra versió de l'Excel us permet llegir aquest comentari en fils. No obstant això, les edicions que s'hi apliquin se suprimiran si el fitxer s'obre en una versió més recent de l'Excel. Més informació: https://go.microsoft.com/fwlink/?linkid=870924.
Comentari:
    Inclou grup només tast (122 persones)</t>
      </text>
    </comment>
    <comment ref="M52" authorId="3" shapeId="0" xr:uid="{8626C32C-2124-46DA-95FA-7BDE0A408790}">
      <text>
        <t>[Comentari en fils]
La vostra versió de l'Excel us permet llegir aquest comentari en fils. No obstant això, les edicions que s'hi apliquin se suprimiran si el fitxer s'obre en una versió més recent de l'Excel. Més informació: https://go.microsoft.com/fwlink/?linkid=870924.
Comentari:
    Inclou tast (610€)</t>
      </text>
    </comment>
    <comment ref="C60" authorId="4" shapeId="0" xr:uid="{2AED41E8-0162-4D20-AF97-9913FAF5C86C}">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D60" authorId="5" shapeId="0" xr:uid="{A58D4B14-6151-420F-A877-A39ED3400230}">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fins el 7/02 i confimanet comarcal la resta del mes</t>
      </text>
    </comment>
    <comment ref="F60" authorId="6" shapeId="0" xr:uid="{79EA2BE1-1826-4CE6-908C-96ED1FB5C951}">
      <text>
        <t>[Comentari en fils]
La vostra versió de l'Excel us permet llegir aquest comentari en fils. No obstant això, les edicions que s'hi apliquin se suprimiran si el fitxer s'obre en una versió més recent de l'Excel. Més informació: https://go.microsoft.com/fwlink/?linkid=870924.
Comentari:
    Del 2-5/04 no hi ha confinament castell obert cada dia, del 6/04 al 30/04 confinament comarcal obert només caps de setmana matí</t>
      </text>
    </comment>
    <comment ref="G71" authorId="7" shapeId="0" xr:uid="{0FEB766A-C899-4539-84EF-F8813A5813B0}">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se n'ha realitzat cap, comencem el 5/06</t>
      </text>
    </comment>
    <comment ref="G81" authorId="8" shapeId="0" xr:uid="{74A59FA0-A2CE-4543-9229-6E7B4154BAB7}">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se n'ha realitzat cap, comencem el 5/06</t>
      </text>
    </comment>
    <comment ref="F87" authorId="9" shapeId="0" xr:uid="{2D431436-2086-4196-A6E9-F5F411D9419F}">
      <text>
        <t>[Comentari en fils]
La vostra versió de l'Excel us permet llegir aquest comentari en fils. No obstant això, les edicions que s'hi apliquin se suprimiran si el fitxer s'obre en una versió més recent de l'Excel. Més informació: https://go.microsoft.com/fwlink/?linkid=870924.
Comentari:
    Tancat: confinament</t>
      </text>
    </comment>
    <comment ref="G87" authorId="10" shapeId="0" xr:uid="{534EF98D-CAB2-47B0-A8D1-D1863B01D17A}">
      <text>
        <t>[Comentari en fils]
La vostra versió de l'Excel us permet llegir aquest comentari en fils. No obstant això, les edicions que s'hi apliquin se suprimiran si el fitxer s'obre en una versió més recent de l'Excel. Més informació: https://go.microsoft.com/fwlink/?linkid=870924.
Comentari:
    Tancat: confinament</t>
      </text>
    </comment>
    <comment ref="M87" authorId="11" shapeId="0" xr:uid="{8CF648E8-E736-4777-B316-57352D046F83}">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N87" authorId="12" shapeId="0" xr:uid="{B10FA439-7E85-40D4-88B5-A5B122F0E3E8}">
      <text>
        <t>[Comentari en fils]
La vostra versió de l'Excel us permet llegir aquest comentari en fils. No obstant això, les edicions que s'hi apliquin se suprimiran si el fitxer s'obre en una versió més recent de l'Excel. Més informació: https://go.microsoft.com/fwlink/?linkid=870924.
Comentari:
    Castell: obert 5 i 6 per residents locals, 7 i 8/12 i a partir del 19/12. OIT tancada caps de setmana fins el 19 i 20/12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tc={1E1EA8DC-D6F1-468C-B461-067963981D37}</author>
    <author>tc={909A97CB-8EF4-4A0E-B983-1ED4FFC5FAC6}</author>
    <author>tc={DDFA9049-C79F-4812-9558-E2E301E90D7A}</author>
    <author>tc={EFE0D729-464F-4F0D-B1F1-819E1B4782FA}</author>
    <author>tc={6F9C8097-F533-4871-985C-94BE161514AD}</author>
    <author>tc={897AE85D-4CF1-4D3A-B3AC-464B1C0F339F}</author>
  </authors>
  <commentList>
    <comment ref="B38" authorId="0" shapeId="0" xr:uid="{1E1EA8DC-D6F1-468C-B461-067963981D37}">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C38" authorId="1" shapeId="0" xr:uid="{909A97CB-8EF4-4A0E-B983-1ED4FFC5FAC6}">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fins el 7/02 i confimanet comarcal la resta del mes</t>
      </text>
    </comment>
    <comment ref="E38" authorId="2" shapeId="0" xr:uid="{DDFA9049-C79F-4812-9558-E2E301E90D7A}">
      <text>
        <t>[Comentari en fils]
La vostra versió de l'Excel us permet llegir aquest comentari en fils. No obstant això, les edicions que s'hi apliquin se suprimiran si el fitxer s'obre en una versió més recent de l'Excel. Més informació: https://go.microsoft.com/fwlink/?linkid=870924.
Comentari:
    Del 2-5/04 no hi ha confinament castell obert cada dia, del 6/04 al 30/04 confinament comarcal obert només caps de setmana matí</t>
      </text>
    </comment>
    <comment ref="B46" authorId="3" shapeId="0" xr:uid="{EFE0D729-464F-4F0D-B1F1-819E1B4782FA}">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tot el mes</t>
      </text>
    </comment>
    <comment ref="C46" authorId="4" shapeId="0" xr:uid="{6F9C8097-F533-4871-985C-94BE161514AD}">
      <text>
        <t>[Comentari en fils]
La vostra versió de l'Excel us permet llegir aquest comentari en fils. No obstant això, les edicions que s'hi apliquin se suprimiran si el fitxer s'obre en una versió més recent de l'Excel. Més informació: https://go.microsoft.com/fwlink/?linkid=870924.
Comentari:
    Confinament municipal fins el 7/02 i confimanet comarcal la resta del mes</t>
      </text>
    </comment>
    <comment ref="E46" authorId="5" shapeId="0" xr:uid="{897AE85D-4CF1-4D3A-B3AC-464B1C0F339F}">
      <text>
        <t>[Comentari en fils]
La vostra versió de l'Excel us permet llegir aquest comentari en fils. No obstant això, les edicions que s'hi apliquin se suprimiran si el fitxer s'obre en una versió més recent de l'Excel. Més informació: https://go.microsoft.com/fwlink/?linkid=870924.
Comentari:
    Del 2-5/04 no hi ha confinament castell obert cada dia, del 6/04 al 30/04 confinament comarcal obert només caps de setmana matí</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tc={1D44D991-C2CA-4632-BF2C-1CF582C29A9D}</author>
    <author>tc={9298BA50-6375-4C3D-A1B2-D344E4EF56EA}</author>
    <author>tc={36A48A0F-9BDF-48FF-8D96-16332F10889A}</author>
  </authors>
  <commentList>
    <comment ref="E2" authorId="0" shapeId="0" xr:uid="{1D44D991-C2CA-4632-BF2C-1CF582C29A9D}">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E11" authorId="1" shapeId="0" xr:uid="{9298BA50-6375-4C3D-A1B2-D344E4EF56EA}">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 ref="E20" authorId="2" shapeId="0" xr:uid="{36A48A0F-9BDF-48FF-8D96-16332F10889A}">
      <text>
        <t>[Comentari en fils]
La vostra versió de l'Excel us permet llegir aquest comentari en fils. No obstant això, les edicions que s'hi apliquin se suprimiran si el fitxer s'obre en una versió més recent de l'Excel. Més informació: https://go.microsoft.com/fwlink/?linkid=870924.
Comentari:
    Fira Medieval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143" authorId="0" shapeId="0" xr:uid="{01E72BC7-2F87-492B-9238-4537197B1D76}">
      <text>
        <r>
          <rPr>
            <sz val="10"/>
            <color rgb="FF000000"/>
            <rFont val="Calibri"/>
            <scheme val="minor"/>
          </rPr>
          <t>La persona que ha contestat al formulari ha actualitzat aquest valor.</t>
        </r>
      </text>
    </comment>
    <comment ref="I143" authorId="0" shapeId="0" xr:uid="{6AB9863D-87B7-4168-A34C-2451BF3B7294}">
      <text>
        <r>
          <rPr>
            <sz val="10"/>
            <color rgb="FF000000"/>
            <rFont val="Calibri"/>
            <scheme val="minor"/>
          </rPr>
          <t>La persona que ha contestat al formulari ha actualitzat aquest valor.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Centre Domus Sent Sovi</author>
    <author>tc={B596419C-6633-475F-9326-CA441FB13387}</author>
  </authors>
  <commentList>
    <comment ref="S20" authorId="0" shapeId="0" xr:uid="{00000000-0006-0000-0200-000001000000}">
      <text>
        <r>
          <rPr>
            <b/>
            <sz val="9"/>
            <color indexed="81"/>
            <rFont val="Tahoma"/>
            <family val="2"/>
          </rPr>
          <t>Centre Domus Sent Sovi:</t>
        </r>
        <r>
          <rPr>
            <sz val="9"/>
            <color indexed="81"/>
            <rFont val="Tahoma"/>
            <family val="2"/>
          </rPr>
          <t xml:space="preserve">
Falta afegir els esdeveniments del castell que no sé on són</t>
        </r>
      </text>
    </comment>
    <comment ref="S21" authorId="1" shapeId="0" xr:uid="{B596419C-6633-475F-9326-CA441FB13387}">
      <text>
        <t>[Comentari en fils]
La vostra versió de l'Excel us permet llegir aquest comentari en fils. No obstant això, les edicions que s'hi apliquin se suprimiran si el fitxer s'obre en una versió més recent de l'Excel. Més informació: https://go.microsoft.com/fwlink/?linkid=870924.
Comentari:
    Falta afegir els esdeveniments/ingressos del castell</t>
      </text>
    </comment>
  </commentList>
</comments>
</file>

<file path=xl/sharedStrings.xml><?xml version="1.0" encoding="utf-8"?>
<sst xmlns="http://schemas.openxmlformats.org/spreadsheetml/2006/main" count="2909" uniqueCount="508">
  <si>
    <t>ANYS</t>
  </si>
  <si>
    <t>ENTRADES AL CASTELL</t>
  </si>
  <si>
    <t>VISITES CLAU</t>
  </si>
  <si>
    <t>BUS NO CONCERTATS</t>
  </si>
  <si>
    <t>ACTIVITATS DOMUS</t>
  </si>
  <si>
    <t>USUARIS TOTALS</t>
  </si>
  <si>
    <t>NOTES:</t>
  </si>
  <si>
    <t>Any 2010 i 2011: visites guiades cap de setmana eren al castell i també al recinte medieval i combinades amb tastet al Panxu.</t>
  </si>
  <si>
    <t>Any 2012 ja es va obrir el castell.</t>
  </si>
  <si>
    <t>Any 2016: el castell va estar tancat una bona temporada. No aconsegueixo trobar dades.</t>
  </si>
  <si>
    <t>Any 2017: Hem pogut comptabilitzar la majoria dels busos no concertats que han deixat benefici en forma de visites amb clau, vendes productes botiga i comerços poble.</t>
  </si>
  <si>
    <t>Any 2015: molta diferència negativa a les visites amb clau. He tret dades del gestor i de l'excel de caixa.</t>
  </si>
  <si>
    <t xml:space="preserve">** NO es compten "activitats Domus" en el total, ja que serien pax doblades. </t>
  </si>
  <si>
    <t>VISITES GUIADES CONCERTADES</t>
  </si>
  <si>
    <t>(ingressos)</t>
  </si>
  <si>
    <t>%</t>
  </si>
  <si>
    <t>Preu mig</t>
  </si>
  <si>
    <t>Ingressos Entrades</t>
  </si>
  <si>
    <t>Ingressos Visites</t>
  </si>
  <si>
    <t>(persones)</t>
  </si>
  <si>
    <t>(grups)</t>
  </si>
  <si>
    <t>INGRESSOS TOTALS</t>
  </si>
  <si>
    <t>TORRE DELS FRARES</t>
  </si>
  <si>
    <t>església</t>
  </si>
  <si>
    <t>(esdeveniments)</t>
  </si>
  <si>
    <t>LLOGUERS ESPAIS (domus+Castell)</t>
  </si>
  <si>
    <t>VISITES CAP SETMANA (+medieval/teatralitzades)</t>
  </si>
  <si>
    <t>Entrades Castell</t>
  </si>
  <si>
    <t>Visites clau</t>
  </si>
  <si>
    <t>Torre Frares</t>
  </si>
  <si>
    <t>Nombre usuaris</t>
  </si>
  <si>
    <t>Ingressos</t>
  </si>
  <si>
    <t>Església</t>
  </si>
  <si>
    <t>Nov</t>
  </si>
  <si>
    <t>Des</t>
  </si>
  <si>
    <t>Oct</t>
  </si>
  <si>
    <t>Set</t>
  </si>
  <si>
    <t>Gen</t>
  </si>
  <si>
    <t>Feb</t>
  </si>
  <si>
    <t>Mar</t>
  </si>
  <si>
    <t>Abr</t>
  </si>
  <si>
    <t>Mai</t>
  </si>
  <si>
    <t>Jun</t>
  </si>
  <si>
    <t>Jul</t>
  </si>
  <si>
    <t>Ago</t>
  </si>
  <si>
    <t>Visites guiades c/set</t>
  </si>
  <si>
    <t>Visites guiades grups</t>
  </si>
  <si>
    <t>Castell</t>
  </si>
  <si>
    <t>Consultes turístiques</t>
  </si>
  <si>
    <t>TOTAL</t>
  </si>
  <si>
    <t>Botiga Domus</t>
  </si>
  <si>
    <t xml:space="preserve">% T. prod. </t>
  </si>
  <si>
    <t>% Distribució</t>
  </si>
  <si>
    <t>Botiga Castell</t>
  </si>
  <si>
    <t xml:space="preserve">Botiga Castell </t>
  </si>
  <si>
    <t>Oficina de Turisme</t>
  </si>
  <si>
    <t>Total</t>
  </si>
  <si>
    <t>% distrib.</t>
  </si>
  <si>
    <t>BOTIGA (Domus/Castell)</t>
  </si>
  <si>
    <t xml:space="preserve">% Var. </t>
  </si>
  <si>
    <t xml:space="preserve">2019 (Oct-Des) </t>
  </si>
  <si>
    <t>Visites guiades castell</t>
  </si>
  <si>
    <t>Visita en clau</t>
  </si>
  <si>
    <t>Visita guiada recinte</t>
  </si>
  <si>
    <t>Total usuaris</t>
  </si>
  <si>
    <t>total ingressos</t>
  </si>
  <si>
    <t>% Tiqets sobre el total (nº usuaris)</t>
  </si>
  <si>
    <t>% increment 21-20</t>
  </si>
  <si>
    <t>% increment 21-19</t>
  </si>
  <si>
    <t>2021 - INGRESSOS TIQETS</t>
  </si>
  <si>
    <t>2021 - PERSONES TIQETS</t>
  </si>
  <si>
    <t>% increment 22-21</t>
  </si>
  <si>
    <t>2022 - PERSONES TIQETS</t>
  </si>
  <si>
    <t>2022 - INGRESSOS TIQETS</t>
  </si>
  <si>
    <t>Nombre d'usuaris</t>
  </si>
  <si>
    <t>Visites teatralitzades</t>
  </si>
  <si>
    <t>TOTAL 5 anys</t>
  </si>
  <si>
    <t>Visitants</t>
  </si>
  <si>
    <t>estiu</t>
  </si>
  <si>
    <t>% variació 22-21</t>
  </si>
  <si>
    <t>% variació 21-20</t>
  </si>
  <si>
    <t>% variació 21-19</t>
  </si>
  <si>
    <t>ENTRADES TIQETS</t>
  </si>
  <si>
    <t>FACTURACIÓ TIQETS</t>
  </si>
  <si>
    <t>% VENDES TIQETS sobre Total Vendes</t>
  </si>
  <si>
    <t>% FACTURACIÓ TIQETS sobre Total Facturació</t>
  </si>
  <si>
    <t>% increment 23-22</t>
  </si>
  <si>
    <t>2023 - PERSONES TIQETS</t>
  </si>
  <si>
    <t>% sobre total ingressos</t>
  </si>
  <si>
    <t>Variació 19-22</t>
  </si>
  <si>
    <t>2023 - INGRESSOS TIQETS</t>
  </si>
  <si>
    <t>Marca de temps</t>
  </si>
  <si>
    <t>PREGUNTA 1: Visites Hostalric</t>
  </si>
  <si>
    <t>PREGUNTA 2: He vingut a Hostalric</t>
  </si>
  <si>
    <t>PREGUNTA 3: Què t'ha motivat a venir?</t>
  </si>
  <si>
    <t>PREGUNTA 4: Quines de les següents fonts d’informació has utilitzat per conèixer Hostalric? (resposta múltiple)</t>
  </si>
  <si>
    <t>PREGUNTA 5. Quins espais has visitat? (resposta múltiple)</t>
  </si>
  <si>
    <t>PREGUNTA 6. Quin tipus de visita has fet?</t>
  </si>
  <si>
    <t>PREGUNTA 7. En quin grau recomanaries Hostalric a amics, familiars o coneguts? (1 no recomanaria 5 recomanaria molt)</t>
  </si>
  <si>
    <t>PREGUNTA 8. Com a complement a la visita turística... (resposta múltiple)</t>
  </si>
  <si>
    <t>PREGUNTA 9. Quines sensacions t'ha generat la seva visita?</t>
  </si>
  <si>
    <t>PREGUNTA 10. En una escala de puntuació de l’1 (malament) al 10 (perfecte), amb quina puntuació global valores la teva visita a Hostalric?</t>
  </si>
  <si>
    <t xml:space="preserve">Observacions i suggeriments sobre la visita a Hostalric </t>
  </si>
  <si>
    <t>Per primera vegada</t>
  </si>
  <si>
    <t>Amb la família</t>
  </si>
  <si>
    <t>Fer una escapada a prop de casa, L'interès pel patrimoni, L'entorn natural</t>
  </si>
  <si>
    <t>Xarxes socials, Mitjans de comunicació</t>
  </si>
  <si>
    <t>Castell Fortalesa interior, Castell Fortalesa exterior (no recorregut turístic)</t>
  </si>
  <si>
    <t>Visita teatralitzada al Castell Fortalesa</t>
  </si>
  <si>
    <t>He fet un àpat en un restaurant local</t>
  </si>
  <si>
    <t>Familiaritat, Proximitat, Sorpresa</t>
  </si>
  <si>
    <t>Que empezará antrs la visita teatralizada, porque cuando se acaba queda muy poco tiempo para ir por libre a ver las salas de interartuar</t>
  </si>
  <si>
    <t>He vingut vàries vegades</t>
  </si>
  <si>
    <t>Amb la parella</t>
  </si>
  <si>
    <t>Fer una escapada a prop de casa, L'interès pel patrimoni</t>
  </si>
  <si>
    <t>Castell Fortalesa interior</t>
  </si>
  <si>
    <t>Visita guiada al Castell Fortalesa</t>
  </si>
  <si>
    <t>He pres un refrigeri a un bar / restaurant</t>
  </si>
  <si>
    <t>Proximitat, Acollida</t>
  </si>
  <si>
    <t>Molt interesant</t>
  </si>
  <si>
    <t>Fer una escapada a prop de casa</t>
  </si>
  <si>
    <t>Cercadors (google...)</t>
  </si>
  <si>
    <t>Recinte medieval (muralla, torres, església, carrers,...)</t>
  </si>
  <si>
    <t>Visita guiada al recinte medieval: Visita vescomtat</t>
  </si>
  <si>
    <t>Proximitat, Sorpresa</t>
  </si>
  <si>
    <t xml:space="preserve">Eulàlia ha sigut encantadora </t>
  </si>
  <si>
    <t>Web oficial</t>
  </si>
  <si>
    <t>Proximitat</t>
  </si>
  <si>
    <t xml:space="preserve">Todo muy bien y recomendable </t>
  </si>
  <si>
    <t>Web oficial, Xarxes socials, Blogs turístics</t>
  </si>
  <si>
    <t>Visita al recinte medieval amb la clau de la vila</t>
  </si>
  <si>
    <t>He fet alguna compra a un comerç local</t>
  </si>
  <si>
    <t xml:space="preserve">Als nens els hi va agradar molt però volien obrir més coses amb la clau o trobar activitats o pistes tipus gimcana </t>
  </si>
  <si>
    <t>Xarxes socials</t>
  </si>
  <si>
    <t>He visitat un altre poble/monument proper</t>
  </si>
  <si>
    <t>Familiaritat, Proximitat, Acollida</t>
  </si>
  <si>
    <t xml:space="preserve">Molt interessant </t>
  </si>
  <si>
    <t>Web oficial, Xarxes socials, Cercadors (google...)</t>
  </si>
  <si>
    <t>Castell Fortalesa interior, Castell Fortalesa exterior (no recorregut turístic), Recinte medieval (muralla, torres, església, carrers,...), Oficina de Turisme - Domus Can Llensa</t>
  </si>
  <si>
    <t>Proximitat, Acollida, Sorpresa</t>
  </si>
  <si>
    <t>Hostalric ens ha agradat molt. Pots gaudir del seu important patrimoni tot passejant. A l'oficina de turisme ens han atès de forma professional i molt amablement . Nosaltres haviem comprat visita al castell, però primer ens vam equivocar i estavem en el grup de visita a muralles on ens estava atenent una guia molt agradable i eficient. Es van adonar que haviem contractat visita al castell i ens ho van comunicar i ens van indicar com arribar al castell. La persona que conduia la visita al castell no ens va  agradar gens. Poca informació i fora de context. Va fer molta menció de castell de Montsoriu, i en canvi per ex no va explicar numeració especial dels carrers, va comentar escut armes perquè un participant de la visita li va preguntar si no no ho explica. La visita va ser avorrida, eterna i poc enriquidora. Ens va treure les ganes de saber més del castell i de visitar el poble. Per sort, vam dinar a el Parrufo, fantàstic amb gent professional i super amable. Llavors vam recorrer el poble gaudint, observant i fent punts pel jocs. En vam gaudir molt. Vam guanyar obsequi del joc. Tot això va poder més que el mal guiatge de la visita i vam marxar de Hostalric després de veure la posta de sol, impressionant. Recomenarem la visita a Hostalric.
Hem fet la visita de les 12:00h del dia 7 de gener de 2023, ho dic perquè potser no sempre fa el guiatge la mateixa persona.</t>
  </si>
  <si>
    <t>L'interès pel patrimoni</t>
  </si>
  <si>
    <t>Castell Fortalesa interior, Castell Fortalesa exterior (no recorregut turístic), Recinte medieval (muralla, torres, església, carrers,...)</t>
  </si>
  <si>
    <t>Entrada lliure al Castell Fortalesa</t>
  </si>
  <si>
    <t>Una bona visita per anar amb nens.</t>
  </si>
  <si>
    <t>Cap</t>
  </si>
  <si>
    <t>Web oficial, Xarxes socials</t>
  </si>
  <si>
    <t xml:space="preserve">Molt contents </t>
  </si>
  <si>
    <t>Recomanació de familiars i/o amics</t>
  </si>
  <si>
    <t>Castell Fortalesa interior, Recinte medieval (muralla, torres, església, carrers,...)</t>
  </si>
  <si>
    <t xml:space="preserve">Punt de trovada per la visita guiada gens clar… el punt d’informacio del poble no te res a veure amb castell. Al pdf de la entrada no possa ubicacio de comencament. Hem tingut que trucar 2 vegades per aclarir on haviem d’anar. </t>
  </si>
  <si>
    <t>Amb els amics</t>
  </si>
  <si>
    <t>Xarxes socials, Cercadors (google...), Recomanació de familiars i/o amics</t>
  </si>
  <si>
    <t>Castell Fortalesa exterior (no recorregut turístic), Recinte medieval (muralla, torres, església, carrers,...)</t>
  </si>
  <si>
    <t>He fet un àpat en un restaurant local, He pres un refrigeri a un bar / restaurant</t>
  </si>
  <si>
    <t>Proximitat, Acollida, Seguretat</t>
  </si>
  <si>
    <t xml:space="preserve">Hem gaudit molt de la visita teatralitzada </t>
  </si>
  <si>
    <t>Web oficial, Blogs turístics</t>
  </si>
  <si>
    <t>Castell Fortalesa interior, Oficina de Turisme - Domus Can Llensa</t>
  </si>
  <si>
    <t>Acollida, Sorpresa</t>
  </si>
  <si>
    <t>Destacaria l'atenció de la persona que atén l'oficina de turisme, pel que fa al coneixement de la matèria, l'interès i l'amabilitat.</t>
  </si>
  <si>
    <t>Amb un grup organitzat</t>
  </si>
  <si>
    <t>Visita guiada al Castell</t>
  </si>
  <si>
    <t>Fulletons turístics</t>
  </si>
  <si>
    <t>Desinformació</t>
  </si>
  <si>
    <t>Las indicacions per poder pujar al Castell son molt dolentes, es mes vàrem aparcar al parking del Restaurant Parrufu i anant cap a dalt vàrem preguntar a un bar com s'anava fins a la entrada de visites i ens varen indicar una "drecera" que per poc ens fa abandonar doncs amb nosaltres venia una senyora de 62 anys amb tractament de quimio per un càncer i la feina va ser nostra, persones ja amb edat de 72 ni 66/67 anys, per poder-la pujar per les escales del darrera del castell ¡¡. Ens vàrem queixar al anar a presentar les entrades i a la guia i ens va dir que les esmentades indicacions ja s'havien canviat 3 cops , pero el resultat es infame. No penso venir mai mes per Hostalric  ni recomanar-ho a ningú.</t>
  </si>
  <si>
    <t>Web oficial, Fulletons turístics, Recomanació de familiars i/o amics</t>
  </si>
  <si>
    <t>He fet alguna compra a un comerç local, He pres un refrigeri a un bar / restaurant</t>
  </si>
  <si>
    <t>Familiaritat, Proximitat</t>
  </si>
  <si>
    <t>Al ser una vista decidida con tan poco tiempo,  y en un Lunes, necesitaremos volver a veros y tomarnos algo en el Bar Sifò en la Plaça dels Bous...</t>
  </si>
  <si>
    <t>Web oficial, Recomanació de familiars i/o amics</t>
  </si>
  <si>
    <t>Em passat un bon matí. No tenien informació sobre restaurants de la zona</t>
  </si>
  <si>
    <t>Acollida</t>
  </si>
  <si>
    <t>Res a comentar</t>
  </si>
  <si>
    <t>Xarxes socials, Cercadors (google...)</t>
  </si>
  <si>
    <t>Moltes felicitats !!!</t>
  </si>
  <si>
    <t>.</t>
  </si>
  <si>
    <t>Web oficial, Cercadors (google...)</t>
  </si>
  <si>
    <t>Per recomanar.</t>
  </si>
  <si>
    <t>Web oficial, Fires turístiques, Recomanació de familiars i/o amics</t>
  </si>
  <si>
    <t>Familiaritat, Proximitat, Acollida, Sorpresa</t>
  </si>
  <si>
    <t>excelente y culturalmente magnífica</t>
  </si>
  <si>
    <t>Familiaritat, Proximitat, Acollida, Sorpresa, Seguretat</t>
  </si>
  <si>
    <t>Estaria bé poder complementar Fortalesa i Muralla</t>
  </si>
  <si>
    <t>L'interès pel patrimoni, L'entorn natural</t>
  </si>
  <si>
    <t>Castell Fortalesa interior, Castell Fortalesa exterior (no recorregut turístic), Recinte medieval (muralla, torres, església, carrers,...), Oficina de Turisme - Domus Can Llensa, Rutes a peu</t>
  </si>
  <si>
    <t>Visita al recinte medieval amb la clau de la vila, Visita teatralitzada al Castell Fortalesa</t>
  </si>
  <si>
    <t xml:space="preserve">Cap suggeriment </t>
  </si>
  <si>
    <t>HACER UNA SALIDA CERCA DE CASA POR EL PATRIMONIO Y COMIDA</t>
  </si>
  <si>
    <t xml:space="preserve">EL RESTAURANTE DENTRO DEL CASTILLO AL ESTILO MEDIEVAL SERIA UNA PASADA </t>
  </si>
  <si>
    <t>Fer una escapada a prop de casa, L'interès pel patrimoni, Visita amb la clau</t>
  </si>
  <si>
    <t>Castell Fortalesa exterior (no recorregut turístic), Recinte medieval (muralla, torres, església, carrers,...), Oficina de Turisme - Domus Can Llensa</t>
  </si>
  <si>
    <t>Proximitat, Sorpresa, Un dissabte, no hem vist comerços o altres interessos que donguin valor afegit a la visita. La visita amb clau es un deu, pero el poble deixa la sensacio que no hi ha res més a fer.</t>
  </si>
  <si>
    <t>Els bars de la plaça del bou son poc atractius. Es troba a faltar veure mes vida, comerç, al poble. La part de patrimoni i visita amb la clau és un 10, però un cop vist, no convida a tornar.</t>
  </si>
  <si>
    <t>Entrada lliure al Castell Fortalesa, Visita al recinte medieval amb la clau de la vila</t>
  </si>
  <si>
    <t>Gràcies.</t>
  </si>
  <si>
    <t>Visita guiada al Castell Fortalesa, Visita guiada al recinte medieval: Visita vescomtat</t>
  </si>
  <si>
    <t>He pres un refrigeri a un bar / restaurant, He visitat un altre poble/monument proper</t>
  </si>
  <si>
    <t xml:space="preserve">No he contestat la 4. Perquè som de Blanes i coneixem Hostalric com a poble de sempre, però ens interesaba fer una retrospectiva més íntima del que ha significat el castell i després la fortalesa D'Hostalric desde l'èpica dels Cabrera, les guerres dels francesos i com a corredor comunicatiu entre Girona i Barcelona.
</t>
  </si>
  <si>
    <t>Sol o sola</t>
  </si>
  <si>
    <t>Castell Fortalesa interior, Recinte medieval (muralla, torres, església, carrers,...), Oficina de Turisme - Domus Can Llensa</t>
  </si>
  <si>
    <t>Visita guiada al Castell Fortalesa, Visita al recinte medieval amb la clau de la vila</t>
  </si>
  <si>
    <t>Sorpresa</t>
  </si>
  <si>
    <t>Cal aprofitar els mesos de poca afluencia de visitants</t>
  </si>
  <si>
    <t>Res a afegir,  moltes Gracies</t>
  </si>
  <si>
    <t>Familiaritat, Proximitat, Acollida, Seguretat</t>
  </si>
  <si>
    <t>…</t>
  </si>
  <si>
    <t>Familiaritat</t>
  </si>
  <si>
    <t>No tinc cap sugeriment, ha sigut una visita perfecte.</t>
  </si>
  <si>
    <t>Recomanable</t>
  </si>
  <si>
    <t>Castell Fortalesa interior, Castell Fortalesa exterior (no recorregut turístic), Recinte medieval (muralla, torres, església, carrers,...), Rutes a peu</t>
  </si>
  <si>
    <t>He fet alguna compra a un comerç local, He visitat un altre poble/monument proper</t>
  </si>
  <si>
    <t>La visita guiada és una meravella, la guia és agradable, molt interessant i clar el que va explicant.</t>
  </si>
  <si>
    <t>Entrada lliure al Castell Fortalesa, Visita teatralitzada al Castell Fortalesa</t>
  </si>
  <si>
    <t xml:space="preserve">Molt content per la visita teatralitzada. Ens ha agradat molt </t>
  </si>
  <si>
    <t>No cal una visita tan llarga</t>
  </si>
  <si>
    <t xml:space="preserve">Res..ha estat molt amè </t>
  </si>
  <si>
    <t>Tant el castell com la vila son preciosos, però he de dir que la visita guiada al castell va deixar força que desitjar. La guia que ens la va fer, no és que no hi posés ganes, però ni el que explicava era massa interessant, ni massa centrat en el castell en sí, ni la manera com ho explicava (dificultats amb l'idioma, to de veu i expressivitat...) ho feia atraient. Una llàstima.</t>
  </si>
  <si>
    <t>Fer una escapada a prop de casa, L'interès pel patrimoni, Interès en els castells de Catalunya</t>
  </si>
  <si>
    <t>Bona visita, la guia ens ho ha explicat molt bé. Sols puc demanar que es doni encara més context al castell, tant de les instal·lacions com les diferents situacions geopolítiques històriques, per entendre millor tot el que hi ha succeeït. Esperem que us arribin més recursos i que es reobri el restaurant!</t>
  </si>
  <si>
    <t>Ens ha encantat la visita teatralitzada, hem rigut molt i ja sigut molt interessant.</t>
  </si>
  <si>
    <t>Sortida relacionada amb el projecte de la classe.</t>
  </si>
  <si>
    <t>Donar les gràcies a totes les persones que s'encarreguen de l'organització per tal de poder portar a terme la visita amb els alumnes d'infantil.
Les explicacions van ser adequades a l'edat i al grup dels nens. En el cas d'anar dos grups al mateix dia valorem més positivament fer l'activitat de l'escut al final de la visita. L'escut de fusta és molt maco però el material utilitzat per pintar va ser poc atractiu degut això els nens es van esforçar poc en fer la decoració.
L'opció d'anar a dinar al parc i amb accés als lavabos molt recomanable. 
Seria possible fer visites prèvies amb els mestres per tal de valorar i veure l'espai o voltants del castell per poder fer un treball previ i posterior. Tot i que vam poder extreure molta informació des de la pàgina web, però durant la visita les mestres  hem hagut d'estar pendent dels nostres alumnes i ens hem perdut durant les explicacions de la guia.</t>
  </si>
  <si>
    <t>Castell Fortalesa exterior (no recorregut turístic)</t>
  </si>
  <si>
    <t>Hem vingut amb l'escola per a alumnes de 5è de primària i la valorem molt bé com a sortida on es treballen molts aspectes plegats.</t>
  </si>
  <si>
    <t>Cap, tot ha sigut perfecte.</t>
  </si>
  <si>
    <t>Altres sensacions</t>
  </si>
  <si>
    <t>La guia no tenia sificient fluidesa informativa i extresava sovint la seva opinió sobre temes i no sobre la visita propiament dita.</t>
  </si>
  <si>
    <t>Web oficial, Fulletons turístics</t>
  </si>
  <si>
    <t>Castell Fortalesa interior, Rutes a peu</t>
  </si>
  <si>
    <t>Gràcies</t>
  </si>
  <si>
    <t>La visita teatralitzada al castell ha estat genial. Escapada d'un dia que recomanaria a tothom. La ciutat enmurallada també molt xula, lo que si que al ser Diumenge i estar tots els comerços tancats (que també trobo lògic), varem trobar a faltar una mica de "vida" per dins la ciutat enmurallada. Potser repartir figures de metall en llocs emblematics de la ciutat, i construir un mapa perque els més petits de la familia els trobin semi-amagats, seria una bona cosa. Això es una cosa que varen fer a Wroclaw (Polonia) amb més de 100 enanitos de metall repartits pel centre històric i causa furor entre els nens i nenes. Seria com una gimcama en que s'han de trobar els enanitos que poden representar el coronel Estrada, o els francesos invesors, o fins i tot figures com el flaquer, el carboner, o el cavaller pujat al cavall.</t>
  </si>
  <si>
    <t>Visitar un amic</t>
  </si>
  <si>
    <t>Res a dir</t>
  </si>
  <si>
    <t>L'interès pel patrimoni, visita del castell</t>
  </si>
  <si>
    <t>L' enhorabona als 2 actors de la visita teatralitzada. Van facilitar la connexió amb el grup.</t>
  </si>
  <si>
    <t>visite hostalric un sabado a las 11 de la mañana y muchos comercio estaban cerrados</t>
  </si>
  <si>
    <t>Sis de les pantalles de la maqueta castell no funcionaven.</t>
  </si>
  <si>
    <t>Acollida, Sorpresa, Seguretat</t>
  </si>
  <si>
    <t>Caldria habilitar ( sense previ avís) la pujada de vehicles fins entrada Fortalesa, per poder apropar persones amb problemes per la pujada des de el parking . Si que un cop parlat amb Ofic. Turisme, molt amablement ens van informar de que avisaven a les guies perque ens obrisin la tanca i poder pujar en cotxe. El que com no saps si podrà ser o no... genera incertessa. Repeteixo, agraïr el bon tracte dels empleats. Salutacions cordials.</t>
  </si>
  <si>
    <t>Ens vam casar aquí</t>
  </si>
  <si>
    <t>Familiaritat, Sorpresa</t>
  </si>
  <si>
    <t xml:space="preserve">Sorpresa, Poca vida. Era dissabte i a la tarda,excepte algun bar, tot estava tancat </t>
  </si>
  <si>
    <t>Seria bo que hi hagués algun comerç obert</t>
  </si>
  <si>
    <t xml:space="preserve">Fer una escapada a prop de casa, Fer una escapada a prop d'on m'allotjo, L'interès pel patrimoni, L'entorn natural, </t>
  </si>
  <si>
    <t xml:space="preserve">Tot be </t>
  </si>
  <si>
    <t>Fer una escapada a prop d'on m'allotjo</t>
  </si>
  <si>
    <t>Recinte medieval (muralla, torres, església, carrers,...), Oficina de Turisme - Domus Can Llensa, Rutes a peu</t>
  </si>
  <si>
    <t>Caldria millorar la senyalització de la ruta amb la clau, indicant més clarament quina porta cal obrir.</t>
  </si>
  <si>
    <t>Ha de ser més llarg i amb més personatges! Es molt amé apendre historia així</t>
  </si>
  <si>
    <t>Tema que treballem a l’escola</t>
  </si>
  <si>
    <t xml:space="preserve">Res a millorar, tot bé </t>
  </si>
  <si>
    <t>Només puc valorar la visita guiada a la fortalesa</t>
  </si>
  <si>
    <t>Carolina la guia perfecta i el esforç de fer-ho amb Català i las seves explicacions ha sigut Amena.</t>
  </si>
  <si>
    <t>Tot perfecte</t>
  </si>
  <si>
    <t>Caldria pujar també a la torre d'Ararà.</t>
  </si>
  <si>
    <t>Una mica més de detall en la visita al Castell</t>
  </si>
  <si>
    <t>Fires turístiques</t>
  </si>
  <si>
    <t>Castell Fortalesa interior, Recinte medieval (muralla, torres, església, carrers,...), Rutes a peu</t>
  </si>
  <si>
    <t xml:space="preserve">Falta de lavabos abiertos en la visita al castillo </t>
  </si>
  <si>
    <t>Web oficial, Fires turístiques</t>
  </si>
  <si>
    <t>L'audiovisual de la visita guiada al castell es podria sentir més alt</t>
  </si>
  <si>
    <t xml:space="preserve">I estat poc temps per fer una valoració </t>
  </si>
  <si>
    <t xml:space="preserve">Fira Medieval i Veure el Castell. </t>
  </si>
  <si>
    <t xml:space="preserve">Una Visita Familiar molt divertida. </t>
  </si>
  <si>
    <t>Mitjans de comunicació</t>
  </si>
  <si>
    <t>CAP</t>
  </si>
  <si>
    <t xml:space="preserve">Res a afegir </t>
  </si>
  <si>
    <t>Oficina de Turisme - Domus Can Llensa, Rutes a peu</t>
  </si>
  <si>
    <t>Millora visita guiada</t>
  </si>
  <si>
    <t xml:space="preserve">Fira medievals </t>
  </si>
  <si>
    <t xml:space="preserve">La guia del castell/fortalesa li falta ritme. </t>
  </si>
  <si>
    <t xml:space="preserve">Tot molt bé </t>
  </si>
  <si>
    <t>He fet un àpat en un restaurant local, He fet alguna compra a un comerç local, He pres un refrigeri a un bar / restaurant</t>
  </si>
  <si>
    <t>Familiaritat, Acollida, Sorpresa</t>
  </si>
  <si>
    <t>La guia de la visita fortaleza.  Muy entregada en q conocieramos la historia.me gusto</t>
  </si>
  <si>
    <t xml:space="preserve">Fira medieval </t>
  </si>
  <si>
    <t>He fet un àpat en un restaurant local, He fet alguna compra a un comerç local</t>
  </si>
  <si>
    <t>Esperava més de la visita guiada al Castell, curta i hem vist poques coses</t>
  </si>
  <si>
    <t>Web oficial, Cercadors (google...), Mitjans de comunicació</t>
  </si>
  <si>
    <t>El Mercat Medieval ha estat fantàstic I molt ben organitzat!</t>
  </si>
  <si>
    <t>la fiestas medievales y recordar otras visitas realizadas hace años</t>
  </si>
  <si>
    <t>Entrada lliure al Castell Fortalesa, Visita guiada al recinte medieval: Visita vescomtat, Visita teatralitzada al Castell Fortalesa</t>
  </si>
  <si>
    <t xml:space="preserve">Familiaritat, Acollida, Seguretat, </t>
  </si>
  <si>
    <t>Somos dos jubilados de 80 años y el  motivo de valorar con un  5 nuestra satisfacción se debe, a que, después de dar muchas vueltas y no encontrando aparcamiento, lo dejamos pisando un poco el paso cebra. No molestaba para nada a los posibles transeúntes; la multa nos la pusieron (100€). Comprenderéis que nos fuéramos un poco mosqueados.</t>
  </si>
  <si>
    <t>M'agradat</t>
  </si>
  <si>
    <t>Web oficial, Mitjans de comunicació</t>
  </si>
  <si>
    <t>La persona que fea de guia una mica lenta</t>
  </si>
  <si>
    <t>fira mitjaval</t>
  </si>
  <si>
    <t>molt bona impeesió.eulalia una guia molt ben documentada i molt didàctica</t>
  </si>
  <si>
    <t>Cercadors (google...), Fires turístiques, Mitjans de comunicació</t>
  </si>
  <si>
    <t>Dificultat per trobar on aparcar el cotxe</t>
  </si>
  <si>
    <t>Blogs turístics</t>
  </si>
  <si>
    <t>Tot molt ben organitzat</t>
  </si>
  <si>
    <t>Molt maco a la fira medieval</t>
  </si>
  <si>
    <t>Xarxes socials, Blogs turístics, Fires turístiques</t>
  </si>
  <si>
    <t>Castell Fortalesa interior, Oficina de Turisme - Domus Can Llensa, Rutes a peu</t>
  </si>
  <si>
    <t>Xarxes socials, Cercadors (google...), Fires turístiques</t>
  </si>
  <si>
    <t>Castell Fortalesa exterior (no recorregut turístic), Recinte medieval (muralla, torres, església, carrers,...), Rutes a peu</t>
  </si>
  <si>
    <t xml:space="preserve">Una visita muy bonita con gente muy amable! Una feria medieval estupenda! </t>
  </si>
  <si>
    <t>Visitar la Fira medieval i el castell</t>
  </si>
  <si>
    <t>Acollida, Seguretat</t>
  </si>
  <si>
    <t>La visita guiada al castell fortalesa ha estat molt be. He trobat a faltar informadors i cartells indicatius a la Fira medieval.</t>
  </si>
  <si>
    <t xml:space="preserve">Més freqüent les rodalies de RENFE </t>
  </si>
  <si>
    <t>La guia que nos ha hecho la visita a sido fantástica</t>
  </si>
  <si>
    <t>Fira Medieval</t>
  </si>
  <si>
    <t>No ens ha agradat la visita guiada al Castell. No explicava bé, s'ha fet molt "cansina", i segons la web es visitaven zones, amb la guia, que no s'han fet.
La resta, genial. Tornarem</t>
  </si>
  <si>
    <t>La guia Eulàlia de la visita m'ha agradat molt. Per casualitat hem vingut durant la fira medieval i m'ha encantat.</t>
  </si>
  <si>
    <t>Web oficial, Fulletons turístics, Mitjans de comunicació, Recomanació de familiars i/o amics</t>
  </si>
  <si>
    <t>Eulàlia, guia de la fortalesa, un 10</t>
  </si>
  <si>
    <t>Fer una escapada a prop de casa, L'interès pel patrimoni, Fira medieval</t>
  </si>
  <si>
    <t>Familiaritat, Proximitat, Desinformació</t>
  </si>
  <si>
    <t>La guia del castell els dies de fira s'hauria de reduïr el preu de la visita ja que hem estat 50 min justos i molt ràpida..</t>
  </si>
  <si>
    <t>Web oficial, Cercadors (google...), Fulletons turístics</t>
  </si>
  <si>
    <t xml:space="preserve">Massa gent a la fira medieval. Mancanca aparcament. </t>
  </si>
  <si>
    <t>Web oficial, Fires turístiques, Fulletons turístics</t>
  </si>
  <si>
    <t>Visita agradable complementada amb el mercat medieval, per repetir</t>
  </si>
  <si>
    <t>La guia de la visita (Carolina) no ens ha agradat, ha fet la visita avorrida i sense cap gràcia. No sap interactuar amb els visitants.</t>
  </si>
  <si>
    <t>Tot molt bé</t>
  </si>
  <si>
    <t>He fet alguna compra a un comerç local, He pres un refrigeri a un bar / restaurant, He visitat un altre poble/monument proper</t>
  </si>
  <si>
    <t>Proximitat, Seguretat</t>
  </si>
  <si>
    <t>N/A</t>
  </si>
  <si>
    <t>La guia no era catalana i li costava expresarse</t>
  </si>
  <si>
    <t xml:space="preserve">La visita guiada bastant fluixa en contingut, recorregut i durada... :-/
</t>
  </si>
  <si>
    <t>Gràcies!</t>
  </si>
  <si>
    <t xml:space="preserve">Pic adaptada. Moltes escales.
</t>
  </si>
  <si>
    <t xml:space="preserve">Tot molt agradable
</t>
  </si>
  <si>
    <t>He trobat facilitats d'aparcament, pero quasi tots ells molt plens.</t>
  </si>
  <si>
    <t>Trobada amb antics companys</t>
  </si>
  <si>
    <t>Instal.lar escales mecaniques</t>
  </si>
  <si>
    <t xml:space="preserve">Hem estat amb Maribel la guía i ha estat tot un plaer. Ha sabut adaptar la informació a nens i a adults. Es nota que es una especialista del tema i li agrada el "seu" castell. MIL GRÀCIES </t>
  </si>
  <si>
    <t>La guia ho va fer molt bé, ens va agradar. Per a persones amb discapacitats no es pot fer.</t>
  </si>
  <si>
    <t xml:space="preserve">No tinc suggeriments </t>
  </si>
  <si>
    <t>La visita ha estat molt entretinguda</t>
  </si>
  <si>
    <t>M'ha encantat la visita teatralitzada. Molt bon actor i molt bona actriu</t>
  </si>
  <si>
    <t xml:space="preserve">Molt ben acollits, s'agraeix que acceptin gossets. molt contents amb l'experiència </t>
  </si>
  <si>
    <t>Familiaritat, Acollida</t>
  </si>
  <si>
    <t xml:space="preserve">Sense suggeriments </t>
  </si>
  <si>
    <t>Web oficial, Blogs turístics, Recomanació de familiars i/o amics</t>
  </si>
  <si>
    <t>Gracies</t>
  </si>
  <si>
    <t>L'entorn natural</t>
  </si>
  <si>
    <t>Seguretat</t>
  </si>
  <si>
    <t xml:space="preserve">Encontré todo muy bien </t>
  </si>
  <si>
    <t xml:space="preserve">Ha estar molt bé! </t>
  </si>
  <si>
    <t>Fer una escapada a prop d'on m'allotjo, L'interès pel patrimoni</t>
  </si>
  <si>
    <t>Familiaritat, Proximitat, Seguretat</t>
  </si>
  <si>
    <t>La visita con la llave me parece una muy buena idea y creo que todo está muy bien conservado y preparado para visitar.</t>
  </si>
  <si>
    <t>La visita con clau ha sido muy entretenida y otra manera de realizar el recorrido por tu cuenta. Volveremos para realizar la visita al Castillo.</t>
  </si>
  <si>
    <t>Som  una escola que vam fer una visita guiada al castell que valorem molt positivament pel coneixement de la guia i l'adaptació que va fer de la història a l'edat dels infants que portàvem. També vam fer un taller d'escuts i ens hauria agradat que hagués estat més elaborat: amb alguna explicació relacionada amb els escuts, perquè servien, què eren, com eren, ensenyant potser fotografies d'aquella època i un material més adequat ja que els colors no pintaven gaire bé sobre fusta i desmereixia el resultat final.</t>
  </si>
  <si>
    <t>Recinte medieval (muralla, torres, església, carrers,...), Oficina de Turisme - Domus Can Llensa</t>
  </si>
  <si>
    <t xml:space="preserve">Penso tornar per visitar el castell </t>
  </si>
  <si>
    <t xml:space="preserve">Espero tornar per visitar el castell 
</t>
  </si>
  <si>
    <t>Xarxes socials, Blogs turístics</t>
  </si>
  <si>
    <t>La visita amb la clau és fantàstica. Les vistes des del castell magnífiques. A dins el casc antic no hi han restaurants "tradicionals" de menús o jo no els vaig saber veure. El tracte a informació i turisme del poble i al castell és d'amabilitat i bona disposició.</t>
  </si>
  <si>
    <t>L'interès pel patrimoni, La motivació ha sigut una sortida escolar</t>
  </si>
  <si>
    <t>No en tinc cap</t>
  </si>
  <si>
    <t>Visita guiada al Castell Fortalesa, Entrada lliure al Castell Fortalesa, Visita guiada al recinte medieval: Visita vescomtat, Visita al recinte medieval amb la clau de la vila, Visita teatralitzada al Castell Fortalesa</t>
  </si>
  <si>
    <t xml:space="preserve">Molt rebe </t>
  </si>
  <si>
    <t>-</t>
  </si>
  <si>
    <t xml:space="preserve">Molt recomanable! </t>
  </si>
  <si>
    <t xml:space="preserve">Tot bé </t>
  </si>
  <si>
    <t>L'horari de la placa de l'oficina de turisme ens va confondre un poc. Posava que dissabte obria a les 15h però dissabte al matí hi treballaven. Sort que vam passar igualment dissabte al matí! Atenció i amabilitat de 10!</t>
  </si>
  <si>
    <t>Web oficial, Cercadors (google...), Recomanació de familiars i/o amics</t>
  </si>
  <si>
    <t>G</t>
  </si>
  <si>
    <t>Cercadors (google...), Fires turístiques</t>
  </si>
  <si>
    <t xml:space="preserve">Em va semblar tot bé </t>
  </si>
  <si>
    <t>Està prou bé plantejada i la valorem positivament tal i com està establerta. Gràcies!</t>
  </si>
  <si>
    <t>Proximitat, Sorpresa, història, cuidat</t>
  </si>
  <si>
    <t>res</t>
  </si>
  <si>
    <t xml:space="preserve">Encuentro a faltar oferta gastronómica </t>
  </si>
  <si>
    <t>M'ha agradat l'experiencia, m'ha donat pena nomes veure que hi ha tanta casa tancada I abandonada. Tota la conservació historica si que està molt  cuidada I penso que tan debó no es perdi tota aquesta meravella. Gràcies per tot. Tornarem!</t>
  </si>
  <si>
    <t>Proximitat, Acollida, Desinformació</t>
  </si>
  <si>
    <t>Res d'especial</t>
  </si>
  <si>
    <t>Els actors de la visita teatralitzada ho han fet molt bé i han estat molt amables.</t>
  </si>
  <si>
    <t>Agències de viatges</t>
  </si>
  <si>
    <t>Oficina de Turisme - Domus Can Llensa</t>
  </si>
  <si>
    <t>Aún está por realizar ya que tengo visita el día 7/06/2023 a las 15:15 h Gracias por la información.</t>
  </si>
  <si>
    <t>Castell Fortalesa exterior (no recorregut turístic), Recinte medieval (muralla, torres, església, carrers,...), Oficina de Turisme - Domus Can Llensa, Rutes a peu</t>
  </si>
  <si>
    <t xml:space="preserve">Fer un ticket combinat renfe + activitat/entrades… </t>
  </si>
  <si>
    <t>els guies son de 10!</t>
  </si>
  <si>
    <t>Todo correcto</t>
  </si>
  <si>
    <t>Castell Fortalesa interior, Castell Fortalesa exterior (no recorregut turístic), Oficina de Turisme - Domus Can Llensa</t>
  </si>
  <si>
    <t>1) Si la visita és en català, cal respectar-ho, a pesar que tothom enten el castellà. En cas contrari, sempre en surt perdent la llengua catalana. Caldria oferir la visita en castellà algun dia del mes. 2) Falta alguna publicació a la venda sobre la història del castell-fotalesa i, per extesió, la muralla d'Hostalric.3) La guia, molt simpàica i coneixedora de la història.</t>
  </si>
  <si>
    <t xml:space="preserve">L'interès pel patrimoni, Organiso sortidas em els meus amics, m'encantan palaus, castells, monestirs, etc etc. M'agrada l'art de auets llocs i la seva cultura. </t>
  </si>
  <si>
    <t>Visita guiada al Castell Fortalesa, Entrada lliure al Castell Fortalesa, Visita guiada al recinte medieval: Visita vescomtat</t>
  </si>
  <si>
    <t>La visita es correcta i ben feta per part de tots, pero si la meva resposta a la pregunta 9, que he dit sorpresa, ha sigut motivada per un fet penos. Jo portu un grup de 68 a 74 anys. Tots amics de infancia. Pero amb problemes de mobilitat. I amb els carnets oportuns de "incapasitats". Quan faig la reserva ho comento i explico el fet de poder arribar amb els cotches fins a la porte del Castell. Mai he tingut cap problema en lloc i tot han sigut facilitats i ajudas menos a casa vostra. El Xou que em vara montar la persona de recepcio i despres el guia. Espectacle penos i de mala educacio. En varen dir que anesim a aparcar al poble, molt be cap probleme. I la meva respopsta vare ser: D'acord, pero despres qui ens puja al castell. Be molt lamentable. Al final amb cara llargas varen accedir a deixar els cotxes a dalt i jo vaig marchar al poble perque la meva señora es va trencar un peu i no podie fer la visita. En cap moment vaig reclamar la devolucio de las mevas entradas, aixo no va en mi. Espero que aquesta nota serveixi per favorir i ajudar a las personas que tenim problemes de mobilitat i ens agrada el art i la cultura amb tots els seus aspectes. Salutacions cordials.</t>
  </si>
  <si>
    <t>He fet un àpat en un restaurant local, He visitat un altre poble/monument proper</t>
  </si>
  <si>
    <t>Caldria facilitar l'accés en cotxe per dur persones grans o amb mobilitat reduïda. Poder deixar-los a l'entrada i tornar a baixar el cotxe per aparcar a la plaça de les Escoles.</t>
  </si>
  <si>
    <t>Blogs turístics, Cercadors (google...), Recomanació de familiars i/o amics</t>
  </si>
  <si>
    <t>Molt satisfactòria!</t>
  </si>
  <si>
    <t xml:space="preserve">Tot perfect. </t>
  </si>
  <si>
    <t>El restaurant Quatre Vents molt malament poc menjar i car.</t>
  </si>
  <si>
    <t>M'ha agradat la visita guiada a la fortalesa. La guia encantadora, propera i que li agrada la seva feina</t>
  </si>
  <si>
    <t>Web oficial, Xarxes socials, Recomanació de familiars i/o amics</t>
  </si>
  <si>
    <t>Entrada lliure al Castell Fortalesa, Visita al recinte medieval amb la clau de la vila, Visita teatralitzada al Castell Fortalesa</t>
  </si>
  <si>
    <t>Familiaritat, Proximitat, Sorpresa, Seguretat</t>
  </si>
  <si>
    <t>Molt recomenable</t>
  </si>
  <si>
    <t>Castell-tast i recinte ha estat una molt bona idea. El grup d’amics ho hem disfrutat molt</t>
  </si>
  <si>
    <t>Ens ha fet molta calor tot i que la guia ens ha cuidat molt</t>
  </si>
  <si>
    <t>La guia ha estat molt didàctica i molt amable</t>
  </si>
  <si>
    <t>La visita teatralitzada ha estat molt bé, els actors saben generar interès per la història i captar l'atenció de l'espectador. Ho recomanaria i repetiria. Potser alguns espais del castell podrien estar una mica més nets i ciudats.</t>
  </si>
  <si>
    <t>Ens hem quedat sense poder veure la Torra dels Monjos ni l'oficina de turisme ja que estaven tancades a la tarda, millor que estiguéssin obertes els festius a a tarda.</t>
  </si>
  <si>
    <t>L'experiencia ha sigut molt bona. Els actors lo han fet molt be.</t>
  </si>
  <si>
    <t>Ha estat molt bé i m'agradat moltíssim.Gràcies per fer aquestes activitats.</t>
  </si>
  <si>
    <t>Genial, els dos guies-actors l' Esther i en Jonathan un Excel.lent😊</t>
  </si>
  <si>
    <t xml:space="preserve">Vull destacar l, actuació de l, Esther i en Jonathan. Ens han fet la visita teatralitzada i ha estat molt divertida. </t>
  </si>
  <si>
    <t>Tot ok.</t>
  </si>
  <si>
    <t>Ha estat genial, per dir alguna cosa al cava li faltava fredo😜</t>
  </si>
  <si>
    <t>Fer una escapada a prop de casa, L'entorn natural</t>
  </si>
  <si>
    <t>Xarxes socials, Recomanació de familiars i/o amics</t>
  </si>
  <si>
    <t xml:space="preserve">Ha habido un poco de descontrol con la hora a la cual empezaba la visita. En la na web pone a las 20, en información me dijeron 19 y finalmente en el Castell a las 19.30. El teléfono de contacto no estaba operativo para llamar antes e infomarse. </t>
  </si>
  <si>
    <t xml:space="preserve">L'explicació de la guia va ser molt interessant.
</t>
  </si>
  <si>
    <t xml:space="preserve">Recomendable totalmente </t>
  </si>
  <si>
    <t>L ascensor de l atorre del fraire no funcionava i no hem punat perque tenia vertigen a l escala de fora i tot i aixo no m han tornat l import de l entrada</t>
  </si>
  <si>
    <t>Mes atencio al turisme.</t>
  </si>
  <si>
    <t>Xarxes socials, Blogs turístics, Fulletons turístics, Recomanació de familiars i/o amics</t>
  </si>
  <si>
    <t>Castell Fortalesa exterior (no recorregut turístic), Oficina de Turisme - Domus Can Llensa</t>
  </si>
  <si>
    <t>Res a destacar</t>
  </si>
  <si>
    <t>Proximitat, Desinformació</t>
  </si>
  <si>
    <t>Manca donar sortida a la fortalesa. Te forces possibilitats.</t>
  </si>
  <si>
    <t>Tot correcta</t>
  </si>
  <si>
    <t>Fer una escapada a prop d'on m'allotjo, L'entorn natural</t>
  </si>
  <si>
    <t>Moltes gràcies a l’Eulàlia :)</t>
  </si>
  <si>
    <t>M'ha sorprès molt gratament</t>
  </si>
  <si>
    <t>Poner el horario real en la web</t>
  </si>
  <si>
    <t>Castell Fortalesa interior, Castell Fortalesa exterior (no recorregut turístic), Rutes a peu</t>
  </si>
  <si>
    <t xml:space="preserve">Muy informativo </t>
  </si>
  <si>
    <t xml:space="preserve">Molt interessant.
Això de poder anar al teu ritme i obrir les portes ha estat molt bé. </t>
  </si>
  <si>
    <t xml:space="preserve">De petit havia estat moltes vegades a La Fortalesa </t>
  </si>
  <si>
    <t xml:space="preserve">M'agradaria poder visitar l'antic restaurant i  taverna </t>
  </si>
  <si>
    <t xml:space="preserve">La visita guiada per l’Eulalia va ser molt divertida i amena, ens va agradar moltíssim.
Felicitats per aquesta guia </t>
  </si>
  <si>
    <t>Problemes per aparcar.  En el parking destinat a visitants, el dia 4 es feia un acte i no es podia estacionar.</t>
  </si>
  <si>
    <t>La senyora que ens va fer de guia, per cordialitat, simpatia i entusiasme, li posem la nota de "Excel·lent"!!!!  Moltes gràcies.</t>
  </si>
  <si>
    <t xml:space="preserve">Lo recomiendo </t>
  </si>
  <si>
    <t>Molt be tot</t>
  </si>
  <si>
    <t>Valoro molt positivament la guia (Eulàlia)!!! Simpatia i prouta i formació que va fer la visita i teressant, agradable i amena.</t>
  </si>
  <si>
    <t>Familiaritat, Proximitat, Deixadesa, Les voreres de carrers i camins estan plens de plastics</t>
  </si>
  <si>
    <t>No ho se</t>
  </si>
  <si>
    <t>Familiaritat, Seguretat, Molt net i cuidat</t>
  </si>
  <si>
    <t>Tot molt correcte. En algun punt del recorregut estaria be posar algun lavabo portátil.</t>
  </si>
  <si>
    <t>Tot bé</t>
  </si>
  <si>
    <t xml:space="preserve">Antonia, la guía, hizo una visita entretenida </t>
  </si>
  <si>
    <t>Ninguna todo perfecto 💯</t>
  </si>
  <si>
    <t>Poble molt tranquil per anar a desconnectar I amb història.</t>
  </si>
  <si>
    <t>Propera, molt gráfica, historia a peu, historia familiar.</t>
  </si>
  <si>
    <t>a</t>
  </si>
  <si>
    <t>La persona que ens ha rebut es mereix un 10. Ens ha atès fora del seu horari laboral i ha sigut un exemple de professionalitat i amabilitat. Tan de bo hi hagués més persones que fessin la seva feina tant bé i tant a gust. ENHORABONA I MOLTES GRÀCIES!</t>
  </si>
  <si>
    <t xml:space="preserve">Nos ha encantado y hemos aprendido mucho </t>
  </si>
  <si>
    <t xml:space="preserve">Després de fer una reserva a la visita guiada contractada expressament en català se'ns va plantejar fer-la en espanyol degut a que hi havia aparegut una parella
de Madrid (sense reserva) i que no entenia el català.
Crec que no és correcte traspassar aquesta decisió als clients. Hauria de ser la mateixa organització qui oferís, si així ho considera oportú, un servei bilingüe o visites en castellà. 
Som a Catalunya i vam con tractar un servei en la nostra llengua. Tant senzill com això.
Gràcies per entendre'ns.
</t>
  </si>
  <si>
    <t>Acollida, Deixadesa</t>
  </si>
  <si>
    <t>Hauria d'estar més net en alguns espais exteriors</t>
  </si>
  <si>
    <t>He fet un àpat en un restaurant local, He pres un refrigeri a un bar / restaurant, He visitat un altre poble/monument proper</t>
  </si>
  <si>
    <t>Proximitat, Acollida, Falta de neteja, gots i embolcalls de menjar, paper alumini de gent que entra al recinte fora d'horaris.</t>
  </si>
  <si>
    <t>Falta indicacions de com arribar dalt el castell, pensava que es podia pujar amb cotxe, sort que el telèfon ens han contestat tot i ser diumenge i ens han indicat molt bé. En comprar entrada s'hauria d'indicar el pàrquing davant escola i pujar per les escales.</t>
  </si>
  <si>
    <t xml:space="preserve">Ha estar molt divertir per la canalla </t>
  </si>
  <si>
    <t>El lloc estava molt bé, però la guia va cometre alguns errors, de tipus històric i, a més, va fer opinions ideològiques que poden generar situacions incòmodes als visitants.</t>
  </si>
  <si>
    <t>Evitar deixar fora d'una visita a turistes castellans per motius d'idioma. Manejar millor aquestes situacions i evitar així confrontacions lingüístiques innecessàries. Tenir una planificació de les visites més definida o més recursos per evitar situacions com aquestes.</t>
  </si>
  <si>
    <t xml:space="preserve">Incomoditat. La guia no tenia massa clara l'explicaciò i només començar no va aplegar a tot el grup per decidir un canvi o adaptació.d'idioma a fi d'incloure a una parella que acabava d'unir-se i només preguntant a una petita part del grup van decidir per la resta. A més de diversos opinions personals d'ideologia que sense demanar-li amaba fent. </t>
  </si>
  <si>
    <t>El Castell és impresionant, el poble molt maco. Però caldria polir, més que dades històriques, decor d'alguna guía, no sé segur sí els clients hem de decidir sobre Altres clients, haurien de tenir més clar com fer anar les coses. Entre unes coses i Altres, la visita va ser deslluida.... Sé que no és representativa aquesta actitud però de cara al públic, i en turisme, no deixa bona imatge a tercera.</t>
  </si>
  <si>
    <t>Grata</t>
  </si>
  <si>
    <t>Guies/actores, un treball fantastic</t>
  </si>
  <si>
    <t>Nos ha gustado mucho a todos</t>
  </si>
  <si>
    <t>Tornarem per fer visita guiada al castell</t>
  </si>
  <si>
    <t>El recinto necesita conservación en algunos sitios y mejoraría la experiencia aun mas, información más amplia sobre la historia de Hostalric y efectos audiovisuales en diferentes espacios del mismo.</t>
  </si>
  <si>
    <t xml:space="preserve">Tot correcte </t>
  </si>
  <si>
    <t>Espero que facin arribar que el meu fill de 10 anys va quedar encantat. Felicitats als actors.</t>
  </si>
  <si>
    <t>No sé per quin motiu es va tancar el restaurant, però estaría molt bé obrir-lo novament.</t>
  </si>
  <si>
    <t xml:space="preserve">Descobriment i interès </t>
  </si>
  <si>
    <t xml:space="preserve">Aprofundir més els aspectes històrics i m3s museïtzació.
</t>
  </si>
  <si>
    <t xml:space="preserve">Opinions personals que no aportaven gaire i un punt d'esgotament de la persona. </t>
  </si>
  <si>
    <t xml:space="preserve">Que es podria treure molt més profit de la visita amb tota la riquesa que hi ha pel poble turísticament parlant. Vaig fer fa uns anys la visita amb la clau i crec que seria interessant que les hores amb la visita guiada es poguessin fer en un mateix dia. Així com l'horari de la visita guiada (a les 12 al sol a l'agost no és bona idea). 
Potser fer un combo d'activitats, oferir algun val per a comprar al poble... ruta pel poble guiada, visita lliure amb la possibilitat d'anar escoltant i aturant en punts d'interès (a un major preu d'entrada) ... la visita és molt interessant però s'ha fet llarga per les aturades i ens hem deixat el polvorí principal sense veure. 
Tornaré a veure la teatralitzada. </t>
  </si>
  <si>
    <t>Molt xula</t>
  </si>
  <si>
    <t>Amb ganes de tornar-hi per fer les rutes</t>
  </si>
  <si>
    <t>Ha estat bé</t>
  </si>
  <si>
    <t xml:space="preserve">Ens ha agradat molt el castell. Llàstima de la calor que feia!! </t>
  </si>
  <si>
    <t>Web oficial, Xarxes socials, Cercadors (google...), Recomanació de familiars i/o amics</t>
  </si>
  <si>
    <t>Parking millor indicat</t>
  </si>
  <si>
    <t xml:space="preserve">M'ha costat saber on podia aparcar, m'ha informat un policia local </t>
  </si>
  <si>
    <t>Sorpresa, Seguretat</t>
  </si>
  <si>
    <t>Explicación de las casas señoriales</t>
  </si>
  <si>
    <t>Res</t>
  </si>
  <si>
    <t>Acollida, Neteja, documentació</t>
  </si>
  <si>
    <t>Celebrar un aniversari familiar</t>
  </si>
  <si>
    <t>Tot molt bé. El guia molt eficient.</t>
  </si>
  <si>
    <t>Sorpresa grata</t>
  </si>
  <si>
    <t>S’ha fet curta la visita</t>
  </si>
  <si>
    <t>Tor molt be</t>
  </si>
  <si>
    <t>Ens agradat molt. Perfecte</t>
  </si>
  <si>
    <t>Excel.lent explicació de la guia</t>
  </si>
  <si>
    <t>Un dia molt agradable, una guia molt ben preparada i propera.</t>
  </si>
  <si>
    <t>No cambiaria res d'Hostalric ,</t>
  </si>
  <si>
    <t>Gràcies per l'acollida!</t>
  </si>
  <si>
    <t>Son un grupo de 5 families i voliem visitar un Castell amb visita teatralizada.</t>
  </si>
  <si>
    <t>Web oficial, Blogs turístics, Cercadors (google...)</t>
  </si>
  <si>
    <t xml:space="preserve">La visita teatralizada ens va agradar moltissim, portavem nens petits i adolescents i varem gaudir molt. Uns 
actors molt i molt profesionals. </t>
  </si>
  <si>
    <t xml:space="preserve">Visita al castillo </t>
  </si>
  <si>
    <t>Res que sugerir. Tot molt bè!</t>
  </si>
  <si>
    <t xml:space="preserve">Ha estat molt xula la visita teatralitzada </t>
  </si>
  <si>
    <t>Ens ha encantat la visita teatralitzada</t>
  </si>
  <si>
    <t>La visita ha estat perfecta.</t>
  </si>
  <si>
    <t>Me a justado  mucho</t>
  </si>
  <si>
    <t>Res a criticar. Molt satisfets!</t>
  </si>
  <si>
    <t xml:space="preserve">Recomendable </t>
  </si>
  <si>
    <t>Web oficial, Blogs turístics, Cercadors (google...), Recomanació de familiars i/o amics</t>
  </si>
  <si>
    <t>Tranquilitat i naturaleza</t>
  </si>
  <si>
    <t>No tornaria al restaurant Quatre Vents</t>
  </si>
  <si>
    <t>Fires turístiques, Mitjans de comunicació</t>
  </si>
  <si>
    <t>És la primera vegada que hem participat d'una visita teatralitzada i ha estat molt interessant! De ben segur que buscarem aquesta opció en altres propostes del nostre territori.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</si>
</sst>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_-* #,##0\ _€_-;\-* #,##0\ _€_-;_-* &quot;-&quot;??\ _€_-;_-@_-"/>
    <numFmt numFmtId="166" formatCode="#,##0\ &quot;€&quot;"/>
    <numFmt numFmtId="167" formatCode="#,##0.00\ &quot;€&quot;"/>
  </numFmts>
  <fonts count="23" x14ac:knownFonts="1">
    <font>
      <sz val="11"/>
      <color theme="1"/>
      <name val="Calibri"/>
      <family val="2"/>
      <scheme val="minor"/>
    </font>
    <font>
      <b/>
      <sz val="11"/>
      <color indexed="8"/>
      <name val="Calibri"/>
      <family val="2"/>
    </font>
    <font>
      <sz val="10"/>
      <color indexed="8"/>
      <name val="Calibri"/>
      <family val="2"/>
    </font>
    <font>
      <sz val="9"/>
      <color indexed="8"/>
      <name val="Calibri"/>
      <family val="2"/>
    </font>
    <font>
      <sz val="11"/>
      <color indexed="8"/>
      <name val="Calibri"/>
      <family val="2"/>
    </font>
    <font>
      <sz val="11"/>
      <color indexed="10"/>
      <name val="Calibri"/>
      <family val="2"/>
    </font>
    <font>
      <sz val="9"/>
      <color indexed="8"/>
      <name val="Verdana"/>
      <family val="2"/>
    </font>
    <font>
      <sz val="9"/>
      <color indexed="81"/>
      <name val="Tahoma"/>
      <family val="2"/>
    </font>
    <font>
      <b/>
      <sz val="9"/>
      <color indexed="81"/>
      <name val="Tahoma"/>
      <family val="2"/>
    </font>
    <font>
      <sz val="11"/>
      <color indexed="9"/>
      <name val="Calibri"/>
      <family val="2"/>
    </font>
    <font>
      <sz val="11"/>
      <color indexed="8"/>
      <name val="Calibri"/>
      <family val="2"/>
    </font>
    <font>
      <b/>
      <sz val="11"/>
      <color indexed="10"/>
      <name val="Calibri"/>
      <family val="2"/>
    </font>
    <font>
      <sz val="11"/>
      <name val="Calibri"/>
      <family val="2"/>
    </font>
    <font>
      <b/>
      <sz val="11"/>
      <name val="Calibri"/>
      <family val="2"/>
    </font>
    <font>
      <b/>
      <sz val="9"/>
      <name val="Verdana"/>
      <family val="2"/>
    </font>
    <font>
      <sz val="11"/>
      <name val="Calibri"/>
      <family val="2"/>
      <scheme val="minor"/>
    </font>
    <font>
      <b/>
      <sz val="11"/>
      <color theme="1"/>
      <name val="Calibri"/>
      <family val="2"/>
      <scheme val="minor"/>
    </font>
    <font>
      <b/>
      <sz val="11"/>
      <color rgb="FF000000"/>
      <name val="Calibri"/>
      <family val="2"/>
    </font>
    <font>
      <sz val="11"/>
      <color rgb="FF000000"/>
      <name val="Calibri"/>
      <family val="2"/>
    </font>
    <font>
      <b/>
      <sz val="11"/>
      <name val="Calibri"/>
      <family val="2"/>
      <scheme val="minor"/>
    </font>
    <font>
      <sz val="8"/>
      <name val="Calibri"/>
      <family val="2"/>
      <scheme val="minor"/>
    </font>
    <font>
      <sz val="10"/>
      <color theme="1"/>
      <name val="Calibri"/>
      <scheme val="minor"/>
    </font>
    <font>
      <sz val="10"/>
      <color rgb="FF000000"/>
      <name val="Calibri"/>
      <scheme val="minor"/>
    </font>
  </fonts>
  <fills count="3">
    <fill>
      <patternFill patternType="none"/>
    </fill>
    <fill>
      <patternFill patternType="gray125"/>
    </fill>
    <fill>
      <patternFill patternType="solid">
        <fgColor indexed="4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4" fontId="4" fillId="0" borderId="0" applyFont="0" applyFill="0" applyBorder="0" applyAlignment="0" applyProtection="0"/>
    <xf numFmtId="164" fontId="10"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cellStyleXfs>
  <cellXfs count="426">
    <xf numFmtId="0" fontId="0" fillId="0" borderId="0" xfId="0"/>
    <xf numFmtId="0" fontId="2" fillId="0" borderId="0" xfId="0" applyFont="1"/>
    <xf numFmtId="0" fontId="2" fillId="0" borderId="0" xfId="0" quotePrefix="1" applyFont="1"/>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0" fillId="0" borderId="0" xfId="1" applyFont="1"/>
    <xf numFmtId="164" fontId="0" fillId="0" borderId="0" xfId="1" applyFont="1" applyAlignment="1"/>
    <xf numFmtId="0" fontId="1" fillId="0" borderId="5" xfId="0" applyFon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44" fontId="0" fillId="0" borderId="8" xfId="3" applyFont="1" applyBorder="1" applyAlignment="1">
      <alignment horizontal="center"/>
    </xf>
    <xf numFmtId="44" fontId="0" fillId="0" borderId="9" xfId="3" applyFont="1" applyBorder="1" applyAlignment="1">
      <alignment horizontal="center"/>
    </xf>
    <xf numFmtId="44" fontId="0" fillId="0" borderId="10" xfId="3" applyFont="1" applyBorder="1" applyAlignment="1">
      <alignment horizontal="center"/>
    </xf>
    <xf numFmtId="164" fontId="0" fillId="0" borderId="8" xfId="1" applyFont="1" applyBorder="1"/>
    <xf numFmtId="164" fontId="0" fillId="0" borderId="8" xfId="1" applyFont="1" applyBorder="1" applyAlignment="1">
      <alignment horizontal="center"/>
    </xf>
    <xf numFmtId="164" fontId="0" fillId="0" borderId="9" xfId="1" applyFont="1" applyBorder="1" applyAlignment="1">
      <alignment horizontal="center"/>
    </xf>
    <xf numFmtId="164" fontId="0" fillId="0" borderId="10" xfId="1" applyFont="1" applyBorder="1"/>
    <xf numFmtId="164" fontId="0" fillId="0" borderId="10" xfId="1" applyFont="1" applyBorder="1" applyAlignment="1">
      <alignment horizontal="center"/>
    </xf>
    <xf numFmtId="165" fontId="0" fillId="0" borderId="11" xfId="1" applyNumberFormat="1" applyFont="1" applyBorder="1" applyAlignment="1">
      <alignment horizontal="center"/>
    </xf>
    <xf numFmtId="165" fontId="0" fillId="0" borderId="1" xfId="1" applyNumberFormat="1" applyFont="1" applyBorder="1" applyAlignment="1">
      <alignment horizontal="center"/>
    </xf>
    <xf numFmtId="165" fontId="0" fillId="0" borderId="12" xfId="1" applyNumberFormat="1" applyFont="1" applyBorder="1" applyAlignment="1">
      <alignment horizontal="center"/>
    </xf>
    <xf numFmtId="165" fontId="0" fillId="0" borderId="13" xfId="1" applyNumberFormat="1" applyFont="1" applyBorder="1" applyAlignment="1">
      <alignment horizontal="center"/>
    </xf>
    <xf numFmtId="165" fontId="0" fillId="0" borderId="14" xfId="1" applyNumberFormat="1" applyFont="1" applyBorder="1" applyAlignment="1">
      <alignment horizontal="center"/>
    </xf>
    <xf numFmtId="165" fontId="0" fillId="0" borderId="15" xfId="1" applyNumberFormat="1" applyFont="1" applyBorder="1" applyAlignment="1">
      <alignment horizontal="center"/>
    </xf>
    <xf numFmtId="165" fontId="0" fillId="0" borderId="11" xfId="1" applyNumberFormat="1" applyFont="1" applyBorder="1"/>
    <xf numFmtId="165" fontId="0" fillId="0" borderId="14" xfId="1" applyNumberFormat="1" applyFont="1" applyBorder="1"/>
    <xf numFmtId="165" fontId="1" fillId="0" borderId="16" xfId="1" applyNumberFormat="1" applyFont="1" applyBorder="1" applyAlignment="1">
      <alignment horizontal="center"/>
    </xf>
    <xf numFmtId="0" fontId="1" fillId="0" borderId="0" xfId="0" applyFont="1" applyBorder="1" applyAlignment="1">
      <alignment horizontal="center"/>
    </xf>
    <xf numFmtId="44" fontId="0" fillId="0" borderId="0" xfId="3" applyFont="1" applyBorder="1"/>
    <xf numFmtId="0" fontId="1" fillId="0" borderId="1" xfId="0" applyFont="1" applyBorder="1" applyAlignment="1">
      <alignment horizontal="center"/>
    </xf>
    <xf numFmtId="0" fontId="1" fillId="0" borderId="1" xfId="0" applyFont="1" applyBorder="1"/>
    <xf numFmtId="9" fontId="0" fillId="0" borderId="1" xfId="6" applyFont="1" applyBorder="1"/>
    <xf numFmtId="44" fontId="0" fillId="0" borderId="1" xfId="3" applyFont="1" applyBorder="1"/>
    <xf numFmtId="0" fontId="0" fillId="0" borderId="17" xfId="0" applyBorder="1"/>
    <xf numFmtId="0" fontId="0" fillId="0" borderId="11" xfId="0" applyBorder="1"/>
    <xf numFmtId="0" fontId="1" fillId="0" borderId="8" xfId="0" applyFont="1" applyBorder="1"/>
    <xf numFmtId="0" fontId="6" fillId="0" borderId="11" xfId="0" applyFont="1" applyBorder="1" applyAlignment="1">
      <alignment horizontal="right" vertical="center" wrapText="1"/>
    </xf>
    <xf numFmtId="44" fontId="0" fillId="0" borderId="8" xfId="3" applyFont="1" applyBorder="1"/>
    <xf numFmtId="165" fontId="1" fillId="0" borderId="18" xfId="1" applyNumberFormat="1" applyFont="1" applyBorder="1" applyAlignment="1">
      <alignment horizontal="center"/>
    </xf>
    <xf numFmtId="0" fontId="0" fillId="0" borderId="19" xfId="0" applyBorder="1" applyAlignment="1">
      <alignment vertical="center" wrapText="1"/>
    </xf>
    <xf numFmtId="0" fontId="0" fillId="0" borderId="20" xfId="0" applyBorder="1" applyAlignment="1">
      <alignment vertical="center" wrapText="1"/>
    </xf>
    <xf numFmtId="0" fontId="0" fillId="0" borderId="16" xfId="0" applyBorder="1"/>
    <xf numFmtId="44" fontId="0" fillId="0" borderId="16" xfId="0" applyNumberFormat="1" applyBorder="1"/>
    <xf numFmtId="44" fontId="0" fillId="0" borderId="18" xfId="0" applyNumberFormat="1" applyBorder="1"/>
    <xf numFmtId="44" fontId="0" fillId="0" borderId="21" xfId="3" applyFont="1" applyBorder="1" applyAlignment="1">
      <alignment horizontal="center"/>
    </xf>
    <xf numFmtId="44" fontId="0" fillId="0" borderId="22" xfId="3" applyFont="1" applyBorder="1" applyAlignment="1">
      <alignment horizontal="center"/>
    </xf>
    <xf numFmtId="44" fontId="0" fillId="0" borderId="23" xfId="3" applyFont="1" applyBorder="1"/>
    <xf numFmtId="44" fontId="0" fillId="0" borderId="16" xfId="3" applyFont="1" applyBorder="1" applyAlignment="1">
      <alignment horizontal="center"/>
    </xf>
    <xf numFmtId="44" fontId="0" fillId="0" borderId="24" xfId="3" applyFont="1" applyBorder="1" applyAlignment="1">
      <alignment horizontal="center"/>
    </xf>
    <xf numFmtId="44" fontId="0" fillId="0" borderId="18" xfId="3" applyFont="1" applyBorder="1"/>
    <xf numFmtId="0" fontId="0" fillId="0" borderId="0" xfId="0" applyFont="1" applyBorder="1"/>
    <xf numFmtId="9" fontId="0" fillId="0" borderId="0" xfId="6" applyFont="1" applyBorder="1" applyAlignment="1">
      <alignment horizontal="center"/>
    </xf>
    <xf numFmtId="2" fontId="0" fillId="0" borderId="1" xfId="0" applyNumberFormat="1" applyBorder="1"/>
    <xf numFmtId="44" fontId="5" fillId="0" borderId="8" xfId="3" applyFont="1" applyBorder="1" applyAlignment="1">
      <alignment horizontal="center"/>
    </xf>
    <xf numFmtId="44" fontId="0" fillId="0" borderId="21" xfId="3" applyFont="1" applyBorder="1"/>
    <xf numFmtId="165" fontId="0" fillId="0" borderId="12" xfId="1" applyNumberFormat="1" applyFont="1" applyFill="1" applyBorder="1" applyAlignment="1">
      <alignment horizontal="center"/>
    </xf>
    <xf numFmtId="44" fontId="0" fillId="0" borderId="22" xfId="3" applyFont="1" applyFill="1" applyBorder="1" applyAlignment="1">
      <alignment horizontal="center"/>
    </xf>
    <xf numFmtId="44" fontId="5" fillId="0" borderId="23" xfId="3" applyFont="1" applyBorder="1"/>
    <xf numFmtId="164" fontId="0" fillId="0" borderId="25" xfId="1" applyFont="1" applyBorder="1"/>
    <xf numFmtId="165" fontId="0" fillId="0" borderId="16" xfId="1" applyNumberFormat="1" applyFont="1" applyBorder="1"/>
    <xf numFmtId="165" fontId="0" fillId="0" borderId="24" xfId="1" applyNumberFormat="1" applyFont="1" applyBorder="1" applyAlignment="1">
      <alignment horizontal="center"/>
    </xf>
    <xf numFmtId="165" fontId="0" fillId="0" borderId="18" xfId="1" applyNumberFormat="1" applyFont="1" applyBorder="1"/>
    <xf numFmtId="0" fontId="1" fillId="0" borderId="0" xfId="0" applyFont="1"/>
    <xf numFmtId="1" fontId="0" fillId="0" borderId="12" xfId="3" applyNumberFormat="1" applyFont="1" applyFill="1" applyBorder="1" applyAlignment="1">
      <alignment horizontal="center"/>
    </xf>
    <xf numFmtId="1" fontId="0" fillId="0" borderId="11" xfId="3" applyNumberFormat="1" applyFont="1" applyBorder="1" applyAlignment="1">
      <alignment horizontal="center"/>
    </xf>
    <xf numFmtId="0" fontId="0" fillId="0" borderId="0" xfId="0" applyBorder="1" applyAlignment="1">
      <alignment horizontal="center"/>
    </xf>
    <xf numFmtId="42" fontId="0" fillId="0" borderId="0" xfId="0" applyNumberFormat="1" applyBorder="1"/>
    <xf numFmtId="44" fontId="1" fillId="0" borderId="26" xfId="3" applyFont="1" applyBorder="1"/>
    <xf numFmtId="0" fontId="1" fillId="0" borderId="26"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0" fontId="1" fillId="0" borderId="2" xfId="0" applyFont="1" applyBorder="1"/>
    <xf numFmtId="0" fontId="0" fillId="0" borderId="19" xfId="0" applyBorder="1" applyAlignment="1">
      <alignment horizontal="center"/>
    </xf>
    <xf numFmtId="0" fontId="1" fillId="0" borderId="29" xfId="0" applyFont="1" applyBorder="1"/>
    <xf numFmtId="0" fontId="0" fillId="0" borderId="20" xfId="0" applyBorder="1" applyAlignment="1">
      <alignment horizontal="center"/>
    </xf>
    <xf numFmtId="6" fontId="0" fillId="0" borderId="0" xfId="0" applyNumberFormat="1" applyBorder="1"/>
    <xf numFmtId="9" fontId="0" fillId="0" borderId="0" xfId="5" applyFont="1"/>
    <xf numFmtId="44" fontId="0" fillId="0" borderId="0" xfId="4" applyFont="1"/>
    <xf numFmtId="164" fontId="1" fillId="0" borderId="27" xfId="1" applyFont="1" applyBorder="1"/>
    <xf numFmtId="164" fontId="1" fillId="0" borderId="26" xfId="1" applyFont="1" applyBorder="1"/>
    <xf numFmtId="0" fontId="0" fillId="0" borderId="0" xfId="0" applyFont="1"/>
    <xf numFmtId="0" fontId="0" fillId="0" borderId="0" xfId="0" applyAlignment="1">
      <alignment horizontal="center"/>
    </xf>
    <xf numFmtId="3" fontId="0" fillId="0" borderId="0" xfId="0" applyNumberFormat="1" applyAlignment="1">
      <alignment horizontal="center"/>
    </xf>
    <xf numFmtId="1" fontId="0" fillId="0" borderId="0" xfId="0" applyNumberFormat="1" applyAlignment="1">
      <alignment horizontal="center"/>
    </xf>
    <xf numFmtId="9" fontId="0" fillId="0" borderId="0" xfId="0" applyNumberFormat="1"/>
    <xf numFmtId="165" fontId="1" fillId="0" borderId="28" xfId="1" applyNumberFormat="1" applyFont="1" applyBorder="1"/>
    <xf numFmtId="165" fontId="1" fillId="0" borderId="26" xfId="1" applyNumberFormat="1" applyFont="1" applyBorder="1"/>
    <xf numFmtId="165" fontId="1" fillId="0" borderId="27" xfId="1" applyNumberFormat="1" applyFont="1" applyBorder="1"/>
    <xf numFmtId="44" fontId="1" fillId="0" borderId="27" xfId="3" applyFont="1" applyBorder="1"/>
    <xf numFmtId="166" fontId="0" fillId="0" borderId="0" xfId="0" applyNumberFormat="1" applyBorder="1"/>
    <xf numFmtId="166" fontId="0" fillId="0" borderId="20" xfId="0" applyNumberFormat="1" applyBorder="1"/>
    <xf numFmtId="44" fontId="0" fillId="0" borderId="20" xfId="3" applyFont="1" applyBorder="1"/>
    <xf numFmtId="9" fontId="0" fillId="0" borderId="0" xfId="6" applyFont="1"/>
    <xf numFmtId="42" fontId="0" fillId="0" borderId="19" xfId="0" applyNumberFormat="1" applyBorder="1"/>
    <xf numFmtId="44" fontId="1" fillId="0" borderId="28" xfId="3" applyFont="1" applyBorder="1"/>
    <xf numFmtId="3" fontId="0" fillId="0" borderId="0" xfId="0" applyNumberFormat="1" applyBorder="1" applyAlignment="1">
      <alignment horizontal="center"/>
    </xf>
    <xf numFmtId="3" fontId="0" fillId="0" borderId="20" xfId="0" applyNumberFormat="1" applyBorder="1" applyAlignment="1">
      <alignment horizontal="center"/>
    </xf>
    <xf numFmtId="10" fontId="0" fillId="0" borderId="0" xfId="0" applyNumberFormat="1"/>
    <xf numFmtId="0" fontId="0" fillId="0" borderId="27" xfId="0" applyBorder="1"/>
    <xf numFmtId="165" fontId="0" fillId="0" borderId="0" xfId="1" applyNumberFormat="1" applyFont="1" applyBorder="1"/>
    <xf numFmtId="9" fontId="0" fillId="0" borderId="0" xfId="6" applyFont="1" applyBorder="1"/>
    <xf numFmtId="9" fontId="0" fillId="0" borderId="26" xfId="6" applyFont="1" applyBorder="1"/>
    <xf numFmtId="44" fontId="0" fillId="0" borderId="0" xfId="0" applyNumberFormat="1" applyBorder="1"/>
    <xf numFmtId="44" fontId="0" fillId="0" borderId="20" xfId="0" applyNumberFormat="1" applyBorder="1"/>
    <xf numFmtId="9" fontId="0" fillId="0" borderId="20" xfId="6" applyFont="1" applyBorder="1"/>
    <xf numFmtId="9" fontId="0" fillId="0" borderId="27" xfId="6" applyFont="1" applyBorder="1"/>
    <xf numFmtId="9" fontId="0" fillId="0" borderId="19" xfId="6" applyFont="1" applyBorder="1"/>
    <xf numFmtId="165" fontId="0" fillId="0" borderId="19" xfId="1" applyNumberFormat="1" applyFont="1" applyBorder="1"/>
    <xf numFmtId="9" fontId="0" fillId="0" borderId="28" xfId="6" applyFont="1" applyBorder="1"/>
    <xf numFmtId="165" fontId="0" fillId="0" borderId="20" xfId="1" applyNumberFormat="1" applyFont="1" applyBorder="1"/>
    <xf numFmtId="0" fontId="13" fillId="2" borderId="0" xfId="0" applyFont="1" applyFill="1" applyBorder="1" applyAlignment="1">
      <alignment horizontal="center"/>
    </xf>
    <xf numFmtId="0" fontId="13" fillId="2" borderId="26" xfId="0" applyFont="1" applyFill="1" applyBorder="1" applyAlignment="1">
      <alignment horizontal="center"/>
    </xf>
    <xf numFmtId="0" fontId="15" fillId="0" borderId="0" xfId="0" applyFont="1"/>
    <xf numFmtId="0" fontId="13" fillId="2" borderId="30" xfId="0" applyFont="1" applyFill="1" applyBorder="1" applyAlignment="1">
      <alignment horizontal="center"/>
    </xf>
    <xf numFmtId="0" fontId="13" fillId="2" borderId="31"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Fill="1" applyBorder="1" applyAlignment="1">
      <alignment horizontal="center"/>
    </xf>
    <xf numFmtId="0" fontId="0" fillId="0" borderId="19" xfId="0" applyBorder="1" applyAlignment="1">
      <alignment horizontal="center"/>
    </xf>
    <xf numFmtId="0" fontId="14" fillId="2" borderId="0" xfId="0" applyFont="1" applyFill="1" applyBorder="1" applyAlignment="1">
      <alignment horizontal="center" vertical="center" wrapText="1"/>
    </xf>
    <xf numFmtId="0" fontId="0" fillId="0" borderId="0" xfId="0" applyBorder="1" applyAlignment="1">
      <alignment horizontal="center"/>
    </xf>
    <xf numFmtId="0" fontId="1" fillId="0" borderId="3" xfId="0" applyFont="1" applyBorder="1" applyAlignment="1">
      <alignment horizontal="center"/>
    </xf>
    <xf numFmtId="0" fontId="1" fillId="0" borderId="26"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29" xfId="0" applyFont="1" applyBorder="1" applyAlignment="1">
      <alignment horizontal="left"/>
    </xf>
    <xf numFmtId="165" fontId="0" fillId="0" borderId="5" xfId="1" applyNumberFormat="1" applyFont="1" applyBorder="1"/>
    <xf numFmtId="165" fontId="0" fillId="0" borderId="34" xfId="1" applyNumberFormat="1" applyFont="1" applyBorder="1"/>
    <xf numFmtId="0" fontId="0" fillId="0" borderId="0" xfId="0" applyBorder="1"/>
    <xf numFmtId="165" fontId="0" fillId="0" borderId="3" xfId="1" applyNumberFormat="1" applyFont="1" applyBorder="1"/>
    <xf numFmtId="44" fontId="0" fillId="0" borderId="5" xfId="3" applyFont="1" applyBorder="1"/>
    <xf numFmtId="44" fontId="0" fillId="0" borderId="3" xfId="3" applyFont="1" applyBorder="1"/>
    <xf numFmtId="44" fontId="0" fillId="0" borderId="34" xfId="3" applyFont="1" applyBorder="1"/>
    <xf numFmtId="9" fontId="0" fillId="0" borderId="5" xfId="6" applyFont="1" applyBorder="1"/>
    <xf numFmtId="9" fontId="0" fillId="0" borderId="34" xfId="6" applyFont="1" applyBorder="1"/>
    <xf numFmtId="9" fontId="0" fillId="0" borderId="3" xfId="6" applyFont="1" applyBorder="1"/>
    <xf numFmtId="44" fontId="0" fillId="0" borderId="19" xfId="3" applyFont="1" applyBorder="1"/>
    <xf numFmtId="44" fontId="0" fillId="0" borderId="19" xfId="0" applyNumberFormat="1" applyBorder="1"/>
    <xf numFmtId="0" fontId="0" fillId="0" borderId="26" xfId="0" applyBorder="1"/>
    <xf numFmtId="0" fontId="0" fillId="0" borderId="28" xfId="0" applyBorder="1"/>
    <xf numFmtId="0" fontId="0" fillId="0" borderId="3" xfId="0" applyBorder="1"/>
    <xf numFmtId="0" fontId="13" fillId="0" borderId="2" xfId="0" applyFont="1" applyFill="1" applyBorder="1"/>
    <xf numFmtId="0" fontId="15" fillId="0" borderId="19" xfId="0" applyFont="1" applyFill="1" applyBorder="1" applyAlignment="1">
      <alignment horizontal="center"/>
    </xf>
    <xf numFmtId="165" fontId="13" fillId="0" borderId="28" xfId="1" applyNumberFormat="1" applyFont="1" applyFill="1" applyBorder="1"/>
    <xf numFmtId="9" fontId="15" fillId="0" borderId="0" xfId="6" applyFont="1" applyFill="1"/>
    <xf numFmtId="0" fontId="15" fillId="0" borderId="0" xfId="0" applyFont="1" applyFill="1"/>
    <xf numFmtId="0" fontId="13" fillId="0" borderId="29" xfId="0" applyFont="1" applyBorder="1"/>
    <xf numFmtId="0" fontId="15" fillId="0" borderId="0" xfId="0" applyFont="1" applyFill="1" applyAlignment="1">
      <alignment horizontal="center"/>
    </xf>
    <xf numFmtId="165" fontId="13" fillId="0" borderId="26" xfId="1" applyNumberFormat="1" applyFont="1" applyFill="1" applyBorder="1"/>
    <xf numFmtId="0" fontId="13" fillId="0" borderId="28" xfId="0" applyFont="1" applyBorder="1" applyAlignment="1">
      <alignment horizontal="left"/>
    </xf>
    <xf numFmtId="0" fontId="15" fillId="0" borderId="19" xfId="0" applyFont="1" applyBorder="1" applyAlignment="1">
      <alignment horizontal="center"/>
    </xf>
    <xf numFmtId="165" fontId="13" fillId="0" borderId="28" xfId="1" applyNumberFormat="1" applyFont="1" applyBorder="1"/>
    <xf numFmtId="9" fontId="15" fillId="0" borderId="0" xfId="5" applyFont="1"/>
    <xf numFmtId="0" fontId="13" fillId="0" borderId="26" xfId="0" applyFont="1" applyBorder="1" applyAlignment="1">
      <alignment horizontal="left"/>
    </xf>
    <xf numFmtId="0" fontId="15" fillId="0" borderId="0" xfId="0" applyFont="1" applyBorder="1" applyAlignment="1">
      <alignment horizontal="center"/>
    </xf>
    <xf numFmtId="3" fontId="15" fillId="0" borderId="0" xfId="0" applyNumberFormat="1" applyFont="1" applyBorder="1" applyAlignment="1">
      <alignment horizontal="center"/>
    </xf>
    <xf numFmtId="165" fontId="13" fillId="0" borderId="26" xfId="1" applyNumberFormat="1" applyFont="1" applyBorder="1"/>
    <xf numFmtId="0" fontId="15" fillId="0" borderId="0" xfId="0" applyFont="1" applyAlignment="1">
      <alignment horizontal="center"/>
    </xf>
    <xf numFmtId="9" fontId="15" fillId="0" borderId="0" xfId="0" applyNumberFormat="1" applyFont="1"/>
    <xf numFmtId="0" fontId="13" fillId="0" borderId="27" xfId="0" applyFont="1" applyBorder="1" applyAlignment="1">
      <alignment horizontal="left"/>
    </xf>
    <xf numFmtId="0" fontId="15" fillId="0" borderId="20" xfId="0" applyFont="1" applyBorder="1" applyAlignment="1">
      <alignment horizontal="center"/>
    </xf>
    <xf numFmtId="165" fontId="13" fillId="0" borderId="27" xfId="1" applyNumberFormat="1" applyFont="1" applyBorder="1"/>
    <xf numFmtId="6" fontId="15" fillId="0" borderId="0" xfId="0" applyNumberFormat="1" applyFont="1" applyBorder="1"/>
    <xf numFmtId="44" fontId="13" fillId="0" borderId="26" xfId="3" applyFont="1" applyBorder="1"/>
    <xf numFmtId="44" fontId="15" fillId="0" borderId="0" xfId="4" applyFont="1"/>
    <xf numFmtId="166" fontId="15" fillId="0" borderId="0" xfId="0" applyNumberFormat="1" applyFont="1" applyBorder="1"/>
    <xf numFmtId="166" fontId="15" fillId="0" borderId="20" xfId="0" applyNumberFormat="1" applyFont="1" applyBorder="1"/>
    <xf numFmtId="44" fontId="13" fillId="0" borderId="27" xfId="3" applyFont="1" applyBorder="1"/>
    <xf numFmtId="0" fontId="16" fillId="0" borderId="4" xfId="0" applyFont="1" applyBorder="1"/>
    <xf numFmtId="0" fontId="16" fillId="0" borderId="29" xfId="0" applyFont="1" applyBorder="1"/>
    <xf numFmtId="0" fontId="16" fillId="0" borderId="2" xfId="0" applyFont="1" applyBorder="1" applyAlignment="1">
      <alignment horizontal="left"/>
    </xf>
    <xf numFmtId="0" fontId="1" fillId="0" borderId="4" xfId="0" applyFont="1" applyBorder="1"/>
    <xf numFmtId="167" fontId="0" fillId="0" borderId="28" xfId="0" applyNumberFormat="1" applyBorder="1" applyAlignment="1">
      <alignment horizontal="center"/>
    </xf>
    <xf numFmtId="167" fontId="0" fillId="0" borderId="26" xfId="0" applyNumberFormat="1" applyBorder="1"/>
    <xf numFmtId="167" fontId="0" fillId="0" borderId="27" xfId="0" applyNumberFormat="1" applyBorder="1"/>
    <xf numFmtId="167" fontId="0" fillId="0" borderId="28" xfId="0" applyNumberFormat="1" applyBorder="1" applyAlignment="1">
      <alignment horizontal="right"/>
    </xf>
    <xf numFmtId="167" fontId="0" fillId="0" borderId="26" xfId="0" applyNumberFormat="1" applyBorder="1" applyAlignment="1">
      <alignment horizontal="right"/>
    </xf>
    <xf numFmtId="167" fontId="0" fillId="0" borderId="27" xfId="0" applyNumberFormat="1" applyBorder="1" applyAlignment="1">
      <alignment horizontal="right"/>
    </xf>
    <xf numFmtId="0" fontId="0" fillId="0" borderId="28" xfId="0" applyBorder="1" applyAlignment="1">
      <alignment horizontal="center"/>
    </xf>
    <xf numFmtId="167" fontId="16" fillId="0" borderId="26" xfId="0" applyNumberFormat="1" applyFont="1" applyBorder="1" applyAlignment="1">
      <alignment horizontal="right"/>
    </xf>
    <xf numFmtId="167" fontId="16" fillId="0" borderId="27" xfId="0" applyNumberFormat="1" applyFont="1" applyBorder="1" applyAlignment="1">
      <alignment horizontal="right"/>
    </xf>
    <xf numFmtId="0" fontId="0" fillId="0" borderId="19" xfId="0" applyBorder="1" applyAlignment="1">
      <alignment horizontal="center"/>
    </xf>
    <xf numFmtId="0" fontId="0" fillId="0" borderId="0" xfId="0" applyBorder="1" applyAlignment="1">
      <alignment horizontal="center"/>
    </xf>
    <xf numFmtId="165" fontId="0" fillId="0" borderId="0" xfId="0" applyNumberFormat="1"/>
    <xf numFmtId="44" fontId="0" fillId="0" borderId="0" xfId="0" applyNumberFormat="1"/>
    <xf numFmtId="9" fontId="0" fillId="0" borderId="28" xfId="0" applyNumberFormat="1" applyBorder="1"/>
    <xf numFmtId="9" fontId="0" fillId="0" borderId="27" xfId="0" applyNumberFormat="1" applyBorder="1"/>
    <xf numFmtId="9" fontId="0" fillId="0" borderId="26" xfId="0" applyNumberFormat="1" applyBorder="1"/>
    <xf numFmtId="0" fontId="1" fillId="0" borderId="3" xfId="0" applyFont="1" applyBorder="1" applyAlignment="1">
      <alignment horizontal="center" vertical="center" wrapText="1"/>
    </xf>
    <xf numFmtId="0" fontId="0" fillId="0" borderId="0" xfId="0"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1" fontId="0" fillId="0" borderId="0" xfId="0" applyNumberFormat="1" applyBorder="1" applyAlignment="1">
      <alignment horizontal="center"/>
    </xf>
    <xf numFmtId="8" fontId="0" fillId="0" borderId="0" xfId="0" applyNumberFormat="1" applyBorder="1"/>
    <xf numFmtId="0" fontId="1" fillId="0" borderId="0" xfId="0" applyFont="1" applyBorder="1"/>
    <xf numFmtId="9" fontId="0" fillId="0" borderId="0" xfId="0" applyNumberFormat="1" applyBorder="1"/>
    <xf numFmtId="0" fontId="1" fillId="0" borderId="26" xfId="0" applyFont="1" applyBorder="1"/>
    <xf numFmtId="0" fontId="1" fillId="0" borderId="0" xfId="0" applyFont="1" applyBorder="1" applyAlignment="1">
      <alignment horizontal="center" vertical="center" wrapText="1"/>
    </xf>
    <xf numFmtId="0" fontId="1" fillId="0" borderId="0" xfId="0" applyFont="1" applyBorder="1" applyAlignment="1">
      <alignment horizontal="left"/>
    </xf>
    <xf numFmtId="44" fontId="1" fillId="0" borderId="0" xfId="3" applyFont="1" applyBorder="1"/>
    <xf numFmtId="165" fontId="0" fillId="0" borderId="0" xfId="1" applyNumberFormat="1" applyFont="1" applyBorder="1" applyAlignment="1">
      <alignment horizontal="center"/>
    </xf>
    <xf numFmtId="165" fontId="1" fillId="0" borderId="0" xfId="1" applyNumberFormat="1" applyFont="1" applyBorder="1"/>
    <xf numFmtId="44" fontId="16" fillId="0" borderId="33" xfId="3" applyFont="1" applyBorder="1"/>
    <xf numFmtId="0" fontId="16" fillId="0" borderId="33" xfId="0" applyFont="1" applyBorder="1" applyAlignment="1">
      <alignment horizontal="center"/>
    </xf>
    <xf numFmtId="0" fontId="16" fillId="0" borderId="30" xfId="0" applyFont="1" applyBorder="1" applyAlignment="1">
      <alignment horizontal="center"/>
    </xf>
    <xf numFmtId="165" fontId="16" fillId="0" borderId="31" xfId="1" applyNumberFormat="1" applyFont="1" applyBorder="1" applyAlignment="1">
      <alignment horizontal="center"/>
    </xf>
    <xf numFmtId="44" fontId="16" fillId="0" borderId="30" xfId="3" applyFont="1" applyBorder="1"/>
    <xf numFmtId="44" fontId="16" fillId="0" borderId="31" xfId="3" applyFont="1" applyBorder="1"/>
    <xf numFmtId="0" fontId="16" fillId="0" borderId="0" xfId="0" applyFont="1"/>
    <xf numFmtId="0" fontId="0" fillId="0" borderId="5" xfId="0" applyBorder="1" applyAlignment="1">
      <alignment horizontal="center"/>
    </xf>
    <xf numFmtId="0" fontId="13" fillId="2" borderId="31" xfId="0" applyFont="1" applyFill="1" applyBorder="1" applyAlignment="1">
      <alignment horizontal="center"/>
    </xf>
    <xf numFmtId="0" fontId="13" fillId="2" borderId="31" xfId="0" applyFont="1" applyFill="1" applyBorder="1" applyAlignment="1">
      <alignment horizontal="center"/>
    </xf>
    <xf numFmtId="0" fontId="13" fillId="2" borderId="39" xfId="0" applyFont="1" applyFill="1" applyBorder="1" applyAlignment="1">
      <alignment horizontal="center"/>
    </xf>
    <xf numFmtId="0" fontId="0" fillId="0" borderId="34" xfId="0" applyBorder="1" applyAlignment="1">
      <alignment horizontal="center"/>
    </xf>
    <xf numFmtId="10" fontId="0" fillId="0" borderId="2" xfId="0" applyNumberFormat="1" applyBorder="1"/>
    <xf numFmtId="10" fontId="0" fillId="0" borderId="4" xfId="0" applyNumberFormat="1" applyBorder="1"/>
    <xf numFmtId="10" fontId="16" fillId="0" borderId="39" xfId="0" applyNumberFormat="1" applyFont="1" applyBorder="1"/>
    <xf numFmtId="0" fontId="16" fillId="0" borderId="0" xfId="0" applyFont="1" applyBorder="1" applyAlignment="1">
      <alignment horizontal="center"/>
    </xf>
    <xf numFmtId="10" fontId="16" fillId="0" borderId="0" xfId="0" applyNumberFormat="1" applyFont="1" applyBorder="1"/>
    <xf numFmtId="0" fontId="0" fillId="0" borderId="19" xfId="0" applyBorder="1" applyAlignment="1">
      <alignment horizontal="center"/>
    </xf>
    <xf numFmtId="0" fontId="13" fillId="2" borderId="31" xfId="0" applyFont="1" applyFill="1" applyBorder="1" applyAlignment="1">
      <alignment horizontal="center"/>
    </xf>
    <xf numFmtId="0" fontId="13" fillId="2" borderId="5" xfId="0" applyFont="1" applyFill="1" applyBorder="1" applyAlignment="1">
      <alignment horizontal="center"/>
    </xf>
    <xf numFmtId="0" fontId="12" fillId="2" borderId="28" xfId="0" applyFont="1" applyFill="1"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3" fillId="2" borderId="33" xfId="0" applyFont="1" applyFill="1" applyBorder="1" applyAlignment="1">
      <alignment horizontal="center"/>
    </xf>
    <xf numFmtId="44" fontId="0" fillId="0" borderId="0" xfId="3" applyFont="1" applyFill="1" applyBorder="1"/>
    <xf numFmtId="0" fontId="0" fillId="0" borderId="2" xfId="0" applyBorder="1" applyAlignment="1">
      <alignment horizontal="center"/>
    </xf>
    <xf numFmtId="0" fontId="0" fillId="0" borderId="4" xfId="0" applyBorder="1" applyAlignment="1">
      <alignment horizontal="center"/>
    </xf>
    <xf numFmtId="0" fontId="0" fillId="0" borderId="29" xfId="0" applyBorder="1" applyAlignment="1">
      <alignment horizontal="center"/>
    </xf>
    <xf numFmtId="44" fontId="0" fillId="0" borderId="0" xfId="3" applyFont="1"/>
    <xf numFmtId="9" fontId="16" fillId="0" borderId="0" xfId="6" applyFont="1"/>
    <xf numFmtId="0" fontId="16" fillId="0" borderId="20" xfId="0" applyFont="1" applyBorder="1" applyAlignment="1">
      <alignment horizontal="center"/>
    </xf>
    <xf numFmtId="44" fontId="16" fillId="0" borderId="0" xfId="3" applyFont="1" applyBorder="1"/>
    <xf numFmtId="9" fontId="16" fillId="0" borderId="0" xfId="5" applyFont="1"/>
    <xf numFmtId="0" fontId="1" fillId="0" borderId="3" xfId="0" applyFont="1" applyBorder="1" applyAlignment="1">
      <alignment horizontal="left"/>
    </xf>
    <xf numFmtId="167" fontId="0" fillId="0" borderId="0" xfId="0" applyNumberFormat="1"/>
    <xf numFmtId="3" fontId="0" fillId="0" borderId="34" xfId="0" applyNumberFormat="1" applyBorder="1" applyAlignment="1">
      <alignment horizontal="center"/>
    </xf>
    <xf numFmtId="3" fontId="0" fillId="0" borderId="19" xfId="0" applyNumberFormat="1" applyBorder="1" applyAlignment="1">
      <alignment horizontal="center"/>
    </xf>
    <xf numFmtId="167" fontId="0" fillId="0" borderId="0" xfId="0" applyNumberFormat="1" applyBorder="1"/>
    <xf numFmtId="0" fontId="1" fillId="0" borderId="0" xfId="0" applyFont="1" applyBorder="1" applyAlignment="1">
      <alignment horizontal="center"/>
    </xf>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28" xfId="0" applyFont="1" applyFill="1" applyBorder="1" applyAlignment="1">
      <alignment horizontal="center"/>
    </xf>
    <xf numFmtId="0" fontId="1" fillId="0" borderId="3" xfId="0" applyFont="1" applyBorder="1" applyAlignment="1">
      <alignment horizontal="center" vertical="center" wrapText="1"/>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4" fillId="2" borderId="0" xfId="0" applyFont="1" applyFill="1" applyBorder="1" applyAlignment="1">
      <alignment horizontal="center" vertical="center" wrapText="1"/>
    </xf>
    <xf numFmtId="0" fontId="12" fillId="2" borderId="19" xfId="0" applyFont="1" applyFill="1" applyBorder="1" applyAlignment="1">
      <alignment horizontal="center"/>
    </xf>
    <xf numFmtId="0" fontId="12" fillId="2" borderId="30" xfId="0" applyFont="1" applyFill="1" applyBorder="1" applyAlignment="1">
      <alignment horizontal="center"/>
    </xf>
    <xf numFmtId="165" fontId="16" fillId="0" borderId="0" xfId="1" applyNumberFormat="1" applyFont="1" applyBorder="1" applyAlignment="1">
      <alignment horizontal="center"/>
    </xf>
    <xf numFmtId="6" fontId="16" fillId="0" borderId="20" xfId="0" applyNumberFormat="1" applyFont="1" applyBorder="1" applyAlignment="1">
      <alignment horizontal="center"/>
    </xf>
    <xf numFmtId="0" fontId="16" fillId="0" borderId="0" xfId="0" applyFont="1" applyBorder="1" applyAlignment="1">
      <alignment horizontal="right"/>
    </xf>
    <xf numFmtId="167" fontId="16" fillId="0" borderId="0" xfId="0" applyNumberFormat="1" applyFont="1"/>
    <xf numFmtId="44" fontId="16" fillId="0" borderId="0" xfId="3"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167" fontId="0" fillId="0" borderId="28" xfId="0" applyNumberFormat="1" applyFill="1" applyBorder="1" applyAlignment="1">
      <alignment horizontal="center"/>
    </xf>
    <xf numFmtId="167" fontId="0" fillId="0" borderId="26" xfId="0" applyNumberFormat="1" applyFill="1" applyBorder="1"/>
    <xf numFmtId="167" fontId="0" fillId="0" borderId="19" xfId="0" applyNumberFormat="1" applyBorder="1"/>
    <xf numFmtId="167" fontId="0" fillId="0" borderId="0" xfId="3" applyNumberFormat="1" applyFont="1" applyBorder="1"/>
    <xf numFmtId="0" fontId="0" fillId="0" borderId="0" xfId="0" applyBorder="1" applyAlignment="1">
      <alignment horizontal="center"/>
    </xf>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31" xfId="0" applyFont="1" applyFill="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xf>
    <xf numFmtId="0" fontId="0" fillId="0" borderId="0" xfId="0" applyBorder="1" applyAlignment="1">
      <alignment horizontal="center"/>
    </xf>
    <xf numFmtId="0" fontId="13" fillId="0" borderId="4" xfId="0" applyFont="1" applyBorder="1" applyAlignment="1">
      <alignment horizontal="center" vertical="center" wrapText="1"/>
    </xf>
    <xf numFmtId="0" fontId="19" fillId="0" borderId="20" xfId="0" applyFont="1" applyBorder="1" applyAlignment="1">
      <alignment horizontal="center"/>
    </xf>
    <xf numFmtId="6" fontId="15" fillId="0" borderId="0" xfId="0" applyNumberFormat="1" applyFont="1"/>
    <xf numFmtId="6" fontId="19" fillId="0" borderId="0" xfId="0" applyNumberFormat="1" applyFont="1"/>
    <xf numFmtId="165" fontId="0" fillId="0" borderId="0" xfId="1" applyNumberFormat="1" applyFont="1"/>
    <xf numFmtId="0" fontId="1" fillId="0" borderId="33" xfId="0" applyFont="1" applyBorder="1" applyAlignment="1">
      <alignment horizontal="center" vertical="center" wrapText="1"/>
    </xf>
    <xf numFmtId="0" fontId="12" fillId="0" borderId="5" xfId="0" applyFont="1" applyFill="1" applyBorder="1" applyAlignment="1">
      <alignment horizontal="center"/>
    </xf>
    <xf numFmtId="0" fontId="1" fillId="0" borderId="31" xfId="0" applyFont="1" applyBorder="1"/>
    <xf numFmtId="0" fontId="13" fillId="0" borderId="33" xfId="0" applyFont="1" applyFill="1" applyBorder="1" applyAlignment="1">
      <alignment horizontal="center"/>
    </xf>
    <xf numFmtId="0" fontId="13" fillId="0" borderId="0" xfId="0" applyFont="1" applyFill="1" applyBorder="1" applyAlignment="1">
      <alignment horizontal="center"/>
    </xf>
    <xf numFmtId="6" fontId="16" fillId="0" borderId="0" xfId="0" applyNumberFormat="1" applyFont="1" applyBorder="1" applyAlignment="1">
      <alignment horizontal="center"/>
    </xf>
    <xf numFmtId="0" fontId="13" fillId="0" borderId="5" xfId="0" applyFont="1" applyFill="1" applyBorder="1" applyAlignment="1">
      <alignment horizontal="center"/>
    </xf>
    <xf numFmtId="0" fontId="15" fillId="0" borderId="20" xfId="0" applyFont="1" applyFill="1" applyBorder="1" applyAlignment="1">
      <alignment horizontal="center"/>
    </xf>
    <xf numFmtId="165" fontId="13" fillId="0" borderId="27" xfId="1" applyNumberFormat="1" applyFont="1" applyFill="1" applyBorder="1"/>
    <xf numFmtId="0" fontId="13" fillId="0" borderId="0" xfId="0" applyFont="1" applyBorder="1" applyAlignment="1">
      <alignment horizontal="center" vertical="center" wrapText="1"/>
    </xf>
    <xf numFmtId="0" fontId="13" fillId="0" borderId="0" xfId="0" applyFont="1" applyBorder="1"/>
    <xf numFmtId="0" fontId="13" fillId="2" borderId="2" xfId="0" applyFont="1" applyFill="1" applyBorder="1" applyAlignment="1">
      <alignment horizontal="center"/>
    </xf>
    <xf numFmtId="0" fontId="0" fillId="0" borderId="0" xfId="0" applyAlignment="1">
      <alignment horizontal="right"/>
    </xf>
    <xf numFmtId="9" fontId="0" fillId="0" borderId="0" xfId="0" applyNumberFormat="1" applyAlignment="1">
      <alignment horizontal="right"/>
    </xf>
    <xf numFmtId="8" fontId="0" fillId="0" borderId="0" xfId="3" applyNumberFormat="1" applyFont="1" applyBorder="1"/>
    <xf numFmtId="0" fontId="0" fillId="0" borderId="0" xfId="0" applyBorder="1" applyAlignment="1">
      <alignment horizontal="center"/>
    </xf>
    <xf numFmtId="10" fontId="0" fillId="0" borderId="0" xfId="0" applyNumberFormat="1" applyBorder="1"/>
    <xf numFmtId="0" fontId="0" fillId="0" borderId="19" xfId="0" applyBorder="1"/>
    <xf numFmtId="0" fontId="0" fillId="0" borderId="20" xfId="0" applyBorder="1"/>
    <xf numFmtId="0" fontId="0" fillId="0" borderId="34" xfId="0" applyBorder="1"/>
    <xf numFmtId="6" fontId="0" fillId="0" borderId="0" xfId="0" applyNumberFormat="1"/>
    <xf numFmtId="0" fontId="0" fillId="0" borderId="0" xfId="0" applyBorder="1" applyAlignment="1">
      <alignment horizontal="center"/>
    </xf>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28" xfId="0" applyFont="1" applyFill="1" applyBorder="1" applyAlignment="1">
      <alignment horizontal="center"/>
    </xf>
    <xf numFmtId="0" fontId="1" fillId="0" borderId="3" xfId="0" applyFont="1" applyBorder="1" applyAlignment="1">
      <alignment horizontal="center" vertical="center" wrapText="1"/>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4" fillId="2" borderId="0" xfId="0" applyFont="1" applyFill="1" applyBorder="1" applyAlignment="1">
      <alignment horizontal="center" vertical="center" wrapText="1"/>
    </xf>
    <xf numFmtId="0" fontId="12" fillId="2" borderId="30" xfId="0" applyFont="1" applyFill="1" applyBorder="1" applyAlignment="1">
      <alignment horizontal="center"/>
    </xf>
    <xf numFmtId="0" fontId="1" fillId="0" borderId="0" xfId="0" applyFont="1" applyFill="1" applyBorder="1" applyAlignment="1">
      <alignment horizontal="left"/>
    </xf>
    <xf numFmtId="0" fontId="9" fillId="0" borderId="0" xfId="0" applyFont="1" applyFill="1" applyBorder="1" applyAlignment="1"/>
    <xf numFmtId="0" fontId="0" fillId="0" borderId="5" xfId="0" applyBorder="1"/>
    <xf numFmtId="0" fontId="17" fillId="0" borderId="0" xfId="0" applyFont="1" applyBorder="1" applyAlignment="1">
      <alignment horizontal="center" vertical="center" wrapText="1"/>
    </xf>
    <xf numFmtId="9" fontId="18" fillId="0" borderId="0" xfId="0" applyNumberFormat="1" applyFont="1" applyBorder="1" applyAlignment="1">
      <alignment horizontal="right" vertical="center" wrapText="1"/>
    </xf>
    <xf numFmtId="0" fontId="17" fillId="0" borderId="5" xfId="0" applyFont="1" applyBorder="1" applyAlignment="1">
      <alignment vertical="center" wrapText="1"/>
    </xf>
    <xf numFmtId="9" fontId="18" fillId="0" borderId="28" xfId="0" applyNumberFormat="1" applyFont="1" applyBorder="1" applyAlignment="1">
      <alignment horizontal="right" vertical="center" wrapText="1"/>
    </xf>
    <xf numFmtId="0" fontId="17" fillId="0" borderId="3" xfId="0" applyFont="1" applyBorder="1" applyAlignment="1">
      <alignment vertical="center" wrapText="1"/>
    </xf>
    <xf numFmtId="9" fontId="18" fillId="0" borderId="26" xfId="0" applyNumberFormat="1" applyFont="1" applyBorder="1" applyAlignment="1">
      <alignment horizontal="right" vertical="center" wrapText="1"/>
    </xf>
    <xf numFmtId="0" fontId="17" fillId="0" borderId="34" xfId="0" applyFont="1" applyBorder="1" applyAlignment="1">
      <alignment vertical="center" wrapText="1"/>
    </xf>
    <xf numFmtId="9" fontId="18" fillId="0" borderId="27" xfId="0" applyNumberFormat="1" applyFont="1" applyBorder="1" applyAlignment="1">
      <alignment horizontal="right" vertical="center" wrapText="1"/>
    </xf>
    <xf numFmtId="9" fontId="18" fillId="0" borderId="19" xfId="0" applyNumberFormat="1" applyFont="1" applyBorder="1" applyAlignment="1">
      <alignment horizontal="right" vertical="center" wrapText="1"/>
    </xf>
    <xf numFmtId="9" fontId="18" fillId="0" borderId="20" xfId="0" applyNumberFormat="1" applyFont="1" applyBorder="1" applyAlignment="1">
      <alignment horizontal="right" vertical="center" wrapText="1"/>
    </xf>
    <xf numFmtId="3" fontId="16" fillId="0" borderId="33" xfId="0" applyNumberFormat="1" applyFont="1" applyBorder="1" applyAlignment="1">
      <alignment horizontal="center"/>
    </xf>
    <xf numFmtId="3" fontId="16" fillId="0" borderId="30" xfId="0" applyNumberFormat="1" applyFont="1" applyBorder="1" applyAlignment="1">
      <alignment horizontal="center"/>
    </xf>
    <xf numFmtId="3" fontId="16" fillId="0" borderId="31" xfId="0" applyNumberFormat="1" applyFont="1" applyBorder="1" applyAlignment="1">
      <alignment horizontal="center"/>
    </xf>
    <xf numFmtId="3" fontId="16" fillId="0" borderId="39" xfId="0" applyNumberFormat="1" applyFont="1" applyBorder="1" applyAlignment="1">
      <alignment horizontal="center"/>
    </xf>
    <xf numFmtId="44" fontId="0" fillId="0" borderId="2" xfId="3" applyFont="1" applyBorder="1"/>
    <xf numFmtId="44" fontId="0" fillId="0" borderId="4" xfId="3" applyFont="1" applyBorder="1"/>
    <xf numFmtId="44" fontId="0" fillId="0" borderId="4" xfId="3" applyFont="1" applyFill="1" applyBorder="1"/>
    <xf numFmtId="44" fontId="0" fillId="0" borderId="29" xfId="3" applyFont="1" applyBorder="1"/>
    <xf numFmtId="10" fontId="0" fillId="0" borderId="28" xfId="0" applyNumberFormat="1" applyBorder="1"/>
    <xf numFmtId="10" fontId="0" fillId="0" borderId="26" xfId="0" applyNumberFormat="1" applyBorder="1"/>
    <xf numFmtId="3" fontId="16" fillId="0" borderId="27" xfId="0" applyNumberFormat="1" applyFont="1" applyBorder="1" applyAlignment="1">
      <alignment horizontal="center"/>
    </xf>
    <xf numFmtId="10" fontId="0" fillId="0" borderId="29" xfId="0" applyNumberFormat="1" applyBorder="1"/>
    <xf numFmtId="167" fontId="0" fillId="0" borderId="5" xfId="0" applyNumberFormat="1" applyBorder="1" applyAlignment="1">
      <alignment horizontal="center"/>
    </xf>
    <xf numFmtId="167" fontId="0" fillId="0" borderId="2" xfId="0" applyNumberFormat="1" applyBorder="1" applyAlignment="1">
      <alignment horizontal="center"/>
    </xf>
    <xf numFmtId="167" fontId="0" fillId="0" borderId="19" xfId="0" applyNumberFormat="1" applyBorder="1" applyAlignment="1">
      <alignment horizontal="center"/>
    </xf>
    <xf numFmtId="167" fontId="0" fillId="0" borderId="3" xfId="0" applyNumberFormat="1" applyBorder="1" applyAlignment="1">
      <alignment horizontal="center"/>
    </xf>
    <xf numFmtId="167" fontId="0" fillId="0" borderId="4" xfId="0" applyNumberFormat="1" applyBorder="1" applyAlignment="1">
      <alignment horizontal="center"/>
    </xf>
    <xf numFmtId="167" fontId="0" fillId="0" borderId="0" xfId="0" applyNumberFormat="1" applyBorder="1" applyAlignment="1">
      <alignment horizontal="center"/>
    </xf>
    <xf numFmtId="167" fontId="0" fillId="0" borderId="34" xfId="0" applyNumberFormat="1" applyBorder="1" applyAlignment="1">
      <alignment horizontal="center"/>
    </xf>
    <xf numFmtId="167" fontId="0" fillId="0" borderId="29" xfId="0" applyNumberFormat="1" applyBorder="1" applyAlignment="1">
      <alignment horizontal="center"/>
    </xf>
    <xf numFmtId="167" fontId="0" fillId="0" borderId="20" xfId="0" applyNumberFormat="1" applyBorder="1" applyAlignment="1">
      <alignment horizontal="center"/>
    </xf>
    <xf numFmtId="167" fontId="16" fillId="0" borderId="0" xfId="0" applyNumberFormat="1" applyFont="1" applyBorder="1" applyAlignment="1">
      <alignment horizontal="center"/>
    </xf>
    <xf numFmtId="167" fontId="1" fillId="0" borderId="28" xfId="3" applyNumberFormat="1" applyFont="1" applyBorder="1"/>
    <xf numFmtId="167" fontId="1" fillId="0" borderId="26" xfId="3" applyNumberFormat="1" applyFont="1" applyBorder="1"/>
    <xf numFmtId="0" fontId="1" fillId="0" borderId="3" xfId="0" applyFont="1" applyBorder="1" applyAlignment="1">
      <alignment horizontal="center" vertical="center" wrapText="1"/>
    </xf>
    <xf numFmtId="9" fontId="0" fillId="0" borderId="34" xfId="6" applyNumberFormat="1" applyFont="1" applyBorder="1"/>
    <xf numFmtId="0" fontId="16" fillId="0" borderId="0" xfId="0" applyFont="1" applyAlignment="1">
      <alignment horizontal="center" vertical="center"/>
    </xf>
    <xf numFmtId="3" fontId="0" fillId="0" borderId="19" xfId="0" applyNumberFormat="1" applyBorder="1" applyAlignment="1">
      <alignment horizontal="center" vertical="center"/>
    </xf>
    <xf numFmtId="3" fontId="0" fillId="0" borderId="20" xfId="0" applyNumberFormat="1" applyBorder="1" applyAlignment="1">
      <alignment horizontal="center" vertical="center"/>
    </xf>
    <xf numFmtId="3" fontId="0" fillId="0" borderId="0" xfId="0" applyNumberFormat="1" applyBorder="1" applyAlignment="1">
      <alignment horizontal="center" vertical="center"/>
    </xf>
    <xf numFmtId="3" fontId="0" fillId="0" borderId="19" xfId="1" applyNumberFormat="1" applyFont="1" applyBorder="1" applyAlignment="1">
      <alignment horizontal="center" vertical="center"/>
    </xf>
    <xf numFmtId="3" fontId="0" fillId="0" borderId="20" xfId="1" applyNumberFormat="1" applyFont="1" applyBorder="1" applyAlignment="1">
      <alignment horizontal="center" vertical="center"/>
    </xf>
    <xf numFmtId="3" fontId="0" fillId="0" borderId="0" xfId="1" applyNumberFormat="1" applyFont="1" applyBorder="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xf>
    <xf numFmtId="44" fontId="0" fillId="0" borderId="19" xfId="3" applyFont="1" applyBorder="1" applyAlignment="1">
      <alignment horizontal="center" vertical="center"/>
    </xf>
    <xf numFmtId="44" fontId="0" fillId="0" borderId="0" xfId="3" applyFont="1" applyBorder="1" applyAlignment="1">
      <alignment horizontal="center" vertical="center"/>
    </xf>
    <xf numFmtId="44" fontId="0" fillId="0" borderId="20" xfId="3" applyFont="1" applyBorder="1" applyAlignment="1">
      <alignment horizontal="center" vertical="center"/>
    </xf>
    <xf numFmtId="44" fontId="0" fillId="0" borderId="0" xfId="3" applyFont="1" applyAlignment="1">
      <alignment horizontal="center" vertical="center"/>
    </xf>
    <xf numFmtId="0" fontId="16" fillId="0" borderId="0" xfId="0" applyFont="1" applyFill="1" applyBorder="1"/>
    <xf numFmtId="9" fontId="0" fillId="0" borderId="28" xfId="6" applyFont="1" applyBorder="1" applyAlignment="1">
      <alignment horizontal="center"/>
    </xf>
    <xf numFmtId="9" fontId="0" fillId="0" borderId="27" xfId="6" applyFont="1" applyBorder="1" applyAlignment="1">
      <alignment horizontal="center"/>
    </xf>
    <xf numFmtId="9" fontId="0" fillId="0" borderId="0" xfId="6" applyFont="1" applyAlignment="1">
      <alignment horizontal="center"/>
    </xf>
    <xf numFmtId="9" fontId="0" fillId="0" borderId="26" xfId="6" applyFont="1" applyBorder="1" applyAlignment="1">
      <alignment horizontal="center"/>
    </xf>
    <xf numFmtId="0" fontId="0" fillId="0" borderId="5" xfId="0" applyBorder="1" applyAlignment="1">
      <alignment horizontal="center"/>
    </xf>
    <xf numFmtId="0" fontId="13" fillId="2" borderId="31" xfId="0" applyFont="1" applyFill="1" applyBorder="1" applyAlignment="1">
      <alignment horizontal="center"/>
    </xf>
    <xf numFmtId="0" fontId="21" fillId="0" borderId="0" xfId="0" applyFont="1"/>
    <xf numFmtId="14" fontId="21" fillId="0" borderId="0" xfId="0" applyNumberFormat="1" applyFont="1"/>
    <xf numFmtId="0" fontId="13" fillId="2" borderId="33"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2" fillId="2" borderId="33" xfId="0" applyFont="1" applyFill="1" applyBorder="1" applyAlignment="1">
      <alignment horizontal="center"/>
    </xf>
    <xf numFmtId="0" fontId="12" fillId="2" borderId="31" xfId="0" applyFont="1" applyFill="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9" xfId="0" applyFont="1" applyBorder="1" applyAlignment="1">
      <alignment horizontal="center" vertical="center" wrapText="1"/>
    </xf>
    <xf numFmtId="0" fontId="12" fillId="2" borderId="5" xfId="0" applyFont="1" applyFill="1" applyBorder="1" applyAlignment="1">
      <alignment horizontal="center"/>
    </xf>
    <xf numFmtId="0" fontId="12" fillId="2" borderId="28" xfId="0" applyFont="1" applyFill="1" applyBorder="1" applyAlignment="1">
      <alignment horizontal="center"/>
    </xf>
    <xf numFmtId="0" fontId="13" fillId="2" borderId="19" xfId="0" applyFont="1" applyFill="1" applyBorder="1" applyAlignment="1">
      <alignment horizontal="center"/>
    </xf>
    <xf numFmtId="0" fontId="1" fillId="0" borderId="5" xfId="0" applyFont="1" applyBorder="1" applyAlignment="1">
      <alignment horizontal="center"/>
    </xf>
    <xf numFmtId="0" fontId="1" fillId="0" borderId="19" xfId="0" applyFont="1" applyBorder="1" applyAlignment="1">
      <alignment horizontal="center"/>
    </xf>
    <xf numFmtId="0" fontId="1" fillId="0" borderId="28" xfId="0" applyFont="1" applyBorder="1" applyAlignment="1">
      <alignment horizontal="center"/>
    </xf>
    <xf numFmtId="0" fontId="9" fillId="2" borderId="3" xfId="0" applyFont="1" applyFill="1" applyBorder="1" applyAlignment="1">
      <alignment horizontal="center"/>
    </xf>
    <xf numFmtId="0" fontId="9" fillId="2" borderId="0" xfId="0" applyFont="1" applyFill="1" applyBorder="1" applyAlignment="1">
      <alignment horizontal="center"/>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4" xfId="0" applyFont="1" applyBorder="1" applyAlignment="1">
      <alignment horizontal="center" vertical="center" wrapText="1"/>
    </xf>
    <xf numFmtId="0" fontId="0" fillId="0" borderId="5" xfId="0"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1"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9" xfId="0" applyFont="1" applyBorder="1" applyAlignment="1">
      <alignment horizontal="center" vertical="center" wrapText="1"/>
    </xf>
    <xf numFmtId="0" fontId="11" fillId="2" borderId="33" xfId="0" applyFont="1" applyFill="1" applyBorder="1" applyAlignment="1">
      <alignment horizontal="center"/>
    </xf>
    <xf numFmtId="0" fontId="11" fillId="2" borderId="30" xfId="0" applyFont="1" applyFill="1" applyBorder="1" applyAlignment="1">
      <alignment horizontal="center"/>
    </xf>
    <xf numFmtId="0" fontId="11" fillId="2" borderId="31" xfId="0" applyFont="1" applyFill="1" applyBorder="1" applyAlignment="1">
      <alignment horizontal="center"/>
    </xf>
    <xf numFmtId="0" fontId="12" fillId="2" borderId="30" xfId="0" applyFont="1" applyFill="1" applyBorder="1" applyAlignment="1">
      <alignment horizontal="center"/>
    </xf>
    <xf numFmtId="0" fontId="12" fillId="2" borderId="34" xfId="0" applyFont="1" applyFill="1" applyBorder="1" applyAlignment="1">
      <alignment horizontal="center"/>
    </xf>
    <xf numFmtId="0" fontId="12" fillId="2" borderId="27" xfId="0" applyFont="1" applyFill="1" applyBorder="1" applyAlignment="1">
      <alignment horizontal="center"/>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2" borderId="0" xfId="0" applyFont="1" applyFill="1" applyBorder="1" applyAlignment="1">
      <alignment horizontal="right"/>
    </xf>
    <xf numFmtId="0" fontId="16" fillId="0" borderId="0" xfId="0" applyFont="1" applyAlignment="1">
      <alignment horizontal="center"/>
    </xf>
    <xf numFmtId="0" fontId="1" fillId="0" borderId="2"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35" xfId="0" applyFont="1" applyBorder="1" applyAlignment="1">
      <alignment horizontal="center"/>
    </xf>
    <xf numFmtId="0" fontId="1" fillId="0" borderId="5"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36" xfId="0" applyFont="1" applyBorder="1" applyAlignment="1">
      <alignment horizontal="center"/>
    </xf>
  </cellXfs>
  <cellStyles count="7">
    <cellStyle name="Coma" xfId="1" builtinId="3"/>
    <cellStyle name="Millares 2" xfId="2" xr:uid="{00000000-0005-0000-0000-000001000000}"/>
    <cellStyle name="Moneda" xfId="3" builtinId="4"/>
    <cellStyle name="Moneda 2" xfId="4" xr:uid="{00000000-0005-0000-0000-000003000000}"/>
    <cellStyle name="Normal" xfId="0" builtinId="0"/>
    <cellStyle name="Percentatge" xfId="6"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Evolució nombre d'usuaris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gràfiques!$A$4</c:f>
              <c:strCache>
                <c:ptCount val="1"/>
                <c:pt idx="0">
                  <c:v>2022</c:v>
                </c:pt>
              </c:strCache>
            </c:strRef>
          </c:tx>
          <c:spPr>
            <a:solidFill>
              <a:schemeClr val="accent1"/>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gràfiques!$B$4:$M$4</c:f>
              <c:numCache>
                <c:formatCode>_-* #,##0\ _€_-;\-* #,##0\ _€_-;_-* "-"??\ _€_-;_-@_-</c:formatCode>
                <c:ptCount val="12"/>
                <c:pt idx="0">
                  <c:v>733</c:v>
                </c:pt>
                <c:pt idx="1">
                  <c:v>907</c:v>
                </c:pt>
                <c:pt idx="2">
                  <c:v>651</c:v>
                </c:pt>
                <c:pt idx="3">
                  <c:v>2236</c:v>
                </c:pt>
                <c:pt idx="4">
                  <c:v>978</c:v>
                </c:pt>
                <c:pt idx="5">
                  <c:v>726</c:v>
                </c:pt>
                <c:pt idx="6">
                  <c:v>848</c:v>
                </c:pt>
                <c:pt idx="7">
                  <c:v>1307</c:v>
                </c:pt>
                <c:pt idx="8">
                  <c:v>1256</c:v>
                </c:pt>
                <c:pt idx="9">
                  <c:v>1898</c:v>
                </c:pt>
                <c:pt idx="10">
                  <c:v>1862</c:v>
                </c:pt>
                <c:pt idx="11">
                  <c:v>831</c:v>
                </c:pt>
              </c:numCache>
            </c:numRef>
          </c:val>
          <c:extLst>
            <c:ext xmlns:c16="http://schemas.microsoft.com/office/drawing/2014/chart" uri="{C3380CC4-5D6E-409C-BE32-E72D297353CC}">
              <c16:uniqueId val="{00000000-89C9-4F35-8A4F-AFEE56B257D6}"/>
            </c:ext>
          </c:extLst>
        </c:ser>
        <c:ser>
          <c:idx val="1"/>
          <c:order val="1"/>
          <c:tx>
            <c:strRef>
              <c:f>gràfiques!$A$5</c:f>
              <c:strCache>
                <c:ptCount val="1"/>
                <c:pt idx="0">
                  <c:v>2021</c:v>
                </c:pt>
              </c:strCache>
            </c:strRef>
          </c:tx>
          <c:spPr>
            <a:solidFill>
              <a:schemeClr val="accent2"/>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gràfiques!$B$5:$M$5</c:f>
              <c:numCache>
                <c:formatCode>_-* #,##0\ _€_-;\-* #,##0\ _€_-;_-* "-"??\ _€_-;_-@_-</c:formatCode>
                <c:ptCount val="12"/>
                <c:pt idx="0">
                  <c:v>123</c:v>
                </c:pt>
                <c:pt idx="1">
                  <c:v>170</c:v>
                </c:pt>
                <c:pt idx="2">
                  <c:v>359</c:v>
                </c:pt>
                <c:pt idx="3">
                  <c:v>707</c:v>
                </c:pt>
                <c:pt idx="4">
                  <c:v>895</c:v>
                </c:pt>
                <c:pt idx="5">
                  <c:v>510</c:v>
                </c:pt>
                <c:pt idx="6">
                  <c:v>798</c:v>
                </c:pt>
                <c:pt idx="7">
                  <c:v>1896</c:v>
                </c:pt>
                <c:pt idx="8">
                  <c:v>1291</c:v>
                </c:pt>
                <c:pt idx="9">
                  <c:v>1323</c:v>
                </c:pt>
                <c:pt idx="10">
                  <c:v>840</c:v>
                </c:pt>
                <c:pt idx="11">
                  <c:v>593</c:v>
                </c:pt>
              </c:numCache>
            </c:numRef>
          </c:val>
          <c:extLst>
            <c:ext xmlns:c16="http://schemas.microsoft.com/office/drawing/2014/chart" uri="{C3380CC4-5D6E-409C-BE32-E72D297353CC}">
              <c16:uniqueId val="{00000001-89C9-4F35-8A4F-AFEE56B257D6}"/>
            </c:ext>
          </c:extLst>
        </c:ser>
        <c:ser>
          <c:idx val="2"/>
          <c:order val="2"/>
          <c:tx>
            <c:strRef>
              <c:f>gràfiques!$A$6</c:f>
              <c:strCache>
                <c:ptCount val="1"/>
                <c:pt idx="0">
                  <c:v>2020</c:v>
                </c:pt>
              </c:strCache>
            </c:strRef>
          </c:tx>
          <c:spPr>
            <a:solidFill>
              <a:schemeClr val="accent3"/>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gràfiques!$B$6:$M$6</c:f>
              <c:numCache>
                <c:formatCode>_-* #,##0\ _€_-;\-* #,##0\ _€_-;_-* "-"??\ _€_-;_-@_-</c:formatCode>
                <c:ptCount val="12"/>
                <c:pt idx="0">
                  <c:v>1036</c:v>
                </c:pt>
                <c:pt idx="1">
                  <c:v>1375</c:v>
                </c:pt>
                <c:pt idx="2">
                  <c:v>403</c:v>
                </c:pt>
                <c:pt idx="3">
                  <c:v>0</c:v>
                </c:pt>
                <c:pt idx="4">
                  <c:v>0</c:v>
                </c:pt>
                <c:pt idx="5">
                  <c:v>126</c:v>
                </c:pt>
                <c:pt idx="6">
                  <c:v>742</c:v>
                </c:pt>
                <c:pt idx="7">
                  <c:v>1589</c:v>
                </c:pt>
                <c:pt idx="8">
                  <c:v>1379</c:v>
                </c:pt>
                <c:pt idx="9">
                  <c:v>1001</c:v>
                </c:pt>
                <c:pt idx="10">
                  <c:v>206</c:v>
                </c:pt>
                <c:pt idx="11">
                  <c:v>267</c:v>
                </c:pt>
              </c:numCache>
            </c:numRef>
          </c:val>
          <c:extLst>
            <c:ext xmlns:c16="http://schemas.microsoft.com/office/drawing/2014/chart" uri="{C3380CC4-5D6E-409C-BE32-E72D297353CC}">
              <c16:uniqueId val="{00000002-89C9-4F35-8A4F-AFEE56B257D6}"/>
            </c:ext>
          </c:extLst>
        </c:ser>
        <c:ser>
          <c:idx val="3"/>
          <c:order val="3"/>
          <c:tx>
            <c:strRef>
              <c:f>gràfiques!$A$7</c:f>
              <c:strCache>
                <c:ptCount val="1"/>
                <c:pt idx="0">
                  <c:v>2019</c:v>
                </c:pt>
              </c:strCache>
            </c:strRef>
          </c:tx>
          <c:spPr>
            <a:solidFill>
              <a:schemeClr val="accent4"/>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gràfiques!$B$7:$M$7</c:f>
              <c:numCache>
                <c:formatCode>_-* #,##0\ _€_-;\-* #,##0\ _€_-;_-* "-"??\ _€_-;_-@_-</c:formatCode>
                <c:ptCount val="12"/>
                <c:pt idx="0">
                  <c:v>402</c:v>
                </c:pt>
                <c:pt idx="1">
                  <c:v>886</c:v>
                </c:pt>
                <c:pt idx="2">
                  <c:v>1086</c:v>
                </c:pt>
                <c:pt idx="3">
                  <c:v>2438</c:v>
                </c:pt>
                <c:pt idx="4">
                  <c:v>1083</c:v>
                </c:pt>
                <c:pt idx="5">
                  <c:v>1030</c:v>
                </c:pt>
                <c:pt idx="6">
                  <c:v>873</c:v>
                </c:pt>
                <c:pt idx="7">
                  <c:v>1326</c:v>
                </c:pt>
                <c:pt idx="8">
                  <c:v>1613</c:v>
                </c:pt>
                <c:pt idx="9">
                  <c:v>1991</c:v>
                </c:pt>
                <c:pt idx="10">
                  <c:v>1953</c:v>
                </c:pt>
                <c:pt idx="11">
                  <c:v>1256</c:v>
                </c:pt>
              </c:numCache>
            </c:numRef>
          </c:val>
          <c:extLst>
            <c:ext xmlns:c16="http://schemas.microsoft.com/office/drawing/2014/chart" uri="{C3380CC4-5D6E-409C-BE32-E72D297353CC}">
              <c16:uniqueId val="{00000003-89C9-4F35-8A4F-AFEE56B257D6}"/>
            </c:ext>
          </c:extLst>
        </c:ser>
        <c:ser>
          <c:idx val="4"/>
          <c:order val="4"/>
          <c:tx>
            <c:strRef>
              <c:f>gràfiques!$A$8</c:f>
              <c:strCache>
                <c:ptCount val="1"/>
                <c:pt idx="0">
                  <c:v>2018</c:v>
                </c:pt>
              </c:strCache>
            </c:strRef>
          </c:tx>
          <c:spPr>
            <a:solidFill>
              <a:schemeClr val="accent5"/>
            </a:solidFill>
            <a:ln>
              <a:noFill/>
            </a:ln>
            <a:effectLst/>
          </c:spPr>
          <c:invertIfNegative val="0"/>
          <c:cat>
            <c:strRef>
              <c:f>gràfiques!$B$1:$M$2</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gràfiques!$B$8:$M$8</c:f>
              <c:numCache>
                <c:formatCode>_-* #,##0\ _€_-;\-* #,##0\ _€_-;_-* "-"??\ _€_-;_-@_-</c:formatCode>
                <c:ptCount val="12"/>
                <c:pt idx="0">
                  <c:v>327</c:v>
                </c:pt>
                <c:pt idx="1">
                  <c:v>146</c:v>
                </c:pt>
                <c:pt idx="2">
                  <c:v>259</c:v>
                </c:pt>
                <c:pt idx="3">
                  <c:v>325</c:v>
                </c:pt>
                <c:pt idx="4">
                  <c:v>603</c:v>
                </c:pt>
                <c:pt idx="5">
                  <c:v>182</c:v>
                </c:pt>
                <c:pt idx="6">
                  <c:v>298</c:v>
                </c:pt>
                <c:pt idx="7">
                  <c:v>361</c:v>
                </c:pt>
                <c:pt idx="8">
                  <c:v>466</c:v>
                </c:pt>
                <c:pt idx="9">
                  <c:v>553</c:v>
                </c:pt>
                <c:pt idx="10">
                  <c:v>323</c:v>
                </c:pt>
                <c:pt idx="11">
                  <c:v>264</c:v>
                </c:pt>
              </c:numCache>
            </c:numRef>
          </c:val>
          <c:extLst>
            <c:ext xmlns:c16="http://schemas.microsoft.com/office/drawing/2014/chart" uri="{C3380CC4-5D6E-409C-BE32-E72D297353CC}">
              <c16:uniqueId val="{00000004-89C9-4F35-8A4F-AFEE56B257D6}"/>
            </c:ext>
          </c:extLst>
        </c:ser>
        <c:ser>
          <c:idx val="5"/>
          <c:order val="5"/>
          <c:tx>
            <c:strRef>
              <c:f>gràfiques!$A$3</c:f>
              <c:strCache>
                <c:ptCount val="1"/>
                <c:pt idx="0">
                  <c:v>2023</c:v>
                </c:pt>
              </c:strCache>
            </c:strRef>
          </c:tx>
          <c:spPr>
            <a:solidFill>
              <a:schemeClr val="accent6"/>
            </a:solidFill>
            <a:ln>
              <a:noFill/>
            </a:ln>
            <a:effectLst/>
          </c:spPr>
          <c:invertIfNegative val="0"/>
          <c:val>
            <c:numRef>
              <c:f>gràfiques!$B$3:$M$3</c:f>
              <c:numCache>
                <c:formatCode>_-* #,##0\ _€_-;\-* #,##0\ _€_-;_-* "-"??\ _€_-;_-@_-</c:formatCode>
                <c:ptCount val="12"/>
                <c:pt idx="0">
                  <c:v>883</c:v>
                </c:pt>
                <c:pt idx="1">
                  <c:v>1105</c:v>
                </c:pt>
                <c:pt idx="2">
                  <c:v>965</c:v>
                </c:pt>
                <c:pt idx="3">
                  <c:v>2375</c:v>
                </c:pt>
                <c:pt idx="4">
                  <c:v>834</c:v>
                </c:pt>
                <c:pt idx="5">
                  <c:v>754</c:v>
                </c:pt>
                <c:pt idx="6">
                  <c:v>667</c:v>
                </c:pt>
                <c:pt idx="7">
                  <c:v>1438</c:v>
                </c:pt>
                <c:pt idx="8">
                  <c:v>1406</c:v>
                </c:pt>
                <c:pt idx="9">
                  <c:v>3351</c:v>
                </c:pt>
                <c:pt idx="10">
                  <c:v>0</c:v>
                </c:pt>
                <c:pt idx="11">
                  <c:v>0</c:v>
                </c:pt>
              </c:numCache>
            </c:numRef>
          </c:val>
          <c:extLst>
            <c:ext xmlns:c16="http://schemas.microsoft.com/office/drawing/2014/chart" uri="{C3380CC4-5D6E-409C-BE32-E72D297353CC}">
              <c16:uniqueId val="{00000003-15C6-47EE-97EE-3B68AC03F1B0}"/>
            </c:ext>
          </c:extLst>
        </c:ser>
        <c:dLbls>
          <c:showLegendKey val="0"/>
          <c:showVal val="0"/>
          <c:showCatName val="0"/>
          <c:showSerName val="0"/>
          <c:showPercent val="0"/>
          <c:showBubbleSize val="0"/>
        </c:dLbls>
        <c:gapWidth val="219"/>
        <c:overlap val="-27"/>
        <c:axId val="402841992"/>
        <c:axId val="402842320"/>
      </c:barChart>
      <c:catAx>
        <c:axId val="402841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02842320"/>
        <c:crosses val="autoZero"/>
        <c:auto val="1"/>
        <c:lblAlgn val="ctr"/>
        <c:lblOffset val="100"/>
        <c:noMultiLvlLbl val="0"/>
      </c:catAx>
      <c:valAx>
        <c:axId val="402842320"/>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02841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a-ES"/>
              <a:t>Evolució</a:t>
            </a:r>
            <a:r>
              <a:rPr lang="ca-ES" baseline="0"/>
              <a:t> d'ingressos</a:t>
            </a:r>
            <a:endParaRPr lang="ca-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gràfiques!$A$13</c:f>
              <c:strCache>
                <c:ptCount val="1"/>
                <c:pt idx="0">
                  <c:v>2022</c:v>
                </c:pt>
              </c:strCache>
            </c:strRef>
          </c:tx>
          <c:spPr>
            <a:solidFill>
              <a:schemeClr val="accent1"/>
            </a:solidFill>
            <a:ln>
              <a:noFill/>
            </a:ln>
            <a:effectLst/>
          </c:spPr>
          <c:invertIfNegative val="0"/>
          <c:cat>
            <c:strRef>
              <c:f>gràfiques!$B$10:$M$11</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gràfiques!$B$13:$M$13</c:f>
              <c:numCache>
                <c:formatCode>_("€"* #,##0.00_);_("€"* \(#,##0.00\);_("€"* "-"??_);_(@_)</c:formatCode>
                <c:ptCount val="12"/>
                <c:pt idx="0">
                  <c:v>2515.91</c:v>
                </c:pt>
                <c:pt idx="1">
                  <c:v>2829.4599999999996</c:v>
                </c:pt>
                <c:pt idx="2">
                  <c:v>2786.0099999999998</c:v>
                </c:pt>
                <c:pt idx="3">
                  <c:v>8729.7099999999991</c:v>
                </c:pt>
                <c:pt idx="4">
                  <c:v>3847.8100000000004</c:v>
                </c:pt>
                <c:pt idx="5">
                  <c:v>2449.6600000000003</c:v>
                </c:pt>
                <c:pt idx="6">
                  <c:v>3245.58</c:v>
                </c:pt>
                <c:pt idx="7">
                  <c:v>5172.8600000000006</c:v>
                </c:pt>
                <c:pt idx="8">
                  <c:v>5439.1500000000005</c:v>
                </c:pt>
                <c:pt idx="9">
                  <c:v>6455.1799999999994</c:v>
                </c:pt>
                <c:pt idx="10">
                  <c:v>6784.28</c:v>
                </c:pt>
                <c:pt idx="11">
                  <c:v>3196.74</c:v>
                </c:pt>
              </c:numCache>
            </c:numRef>
          </c:val>
          <c:extLst>
            <c:ext xmlns:c16="http://schemas.microsoft.com/office/drawing/2014/chart" uri="{C3380CC4-5D6E-409C-BE32-E72D297353CC}">
              <c16:uniqueId val="{00000000-9430-4727-A477-9A5A9219AEDF}"/>
            </c:ext>
          </c:extLst>
        </c:ser>
        <c:ser>
          <c:idx val="1"/>
          <c:order val="1"/>
          <c:tx>
            <c:strRef>
              <c:f>gràfiques!$A$14</c:f>
              <c:strCache>
                <c:ptCount val="1"/>
                <c:pt idx="0">
                  <c:v>2021</c:v>
                </c:pt>
              </c:strCache>
            </c:strRef>
          </c:tx>
          <c:spPr>
            <a:solidFill>
              <a:schemeClr val="accent2"/>
            </a:solidFill>
            <a:ln>
              <a:noFill/>
            </a:ln>
            <a:effectLst/>
          </c:spPr>
          <c:invertIfNegative val="0"/>
          <c:cat>
            <c:strRef>
              <c:f>gràfiques!$B$10:$M$11</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gràfiques!$B$14:$M$14</c:f>
              <c:numCache>
                <c:formatCode>_("€"* #,##0.00_);_("€"* \(#,##0.00\);_("€"* "-"??_);_(@_)</c:formatCode>
                <c:ptCount val="12"/>
                <c:pt idx="0">
                  <c:v>320</c:v>
                </c:pt>
                <c:pt idx="1">
                  <c:v>609.25</c:v>
                </c:pt>
                <c:pt idx="2">
                  <c:v>1452.5</c:v>
                </c:pt>
                <c:pt idx="3">
                  <c:v>2169.1299999999997</c:v>
                </c:pt>
                <c:pt idx="4">
                  <c:v>3125.5099999999998</c:v>
                </c:pt>
                <c:pt idx="5">
                  <c:v>1689.8900000000003</c:v>
                </c:pt>
                <c:pt idx="6">
                  <c:v>2934.48</c:v>
                </c:pt>
                <c:pt idx="7">
                  <c:v>6853.63</c:v>
                </c:pt>
                <c:pt idx="8">
                  <c:v>4521.6100000000006</c:v>
                </c:pt>
                <c:pt idx="9">
                  <c:v>4619.17</c:v>
                </c:pt>
                <c:pt idx="10">
                  <c:v>3542.06</c:v>
                </c:pt>
                <c:pt idx="11">
                  <c:v>1950.36</c:v>
                </c:pt>
              </c:numCache>
            </c:numRef>
          </c:val>
          <c:extLst>
            <c:ext xmlns:c16="http://schemas.microsoft.com/office/drawing/2014/chart" uri="{C3380CC4-5D6E-409C-BE32-E72D297353CC}">
              <c16:uniqueId val="{00000001-9430-4727-A477-9A5A9219AEDF}"/>
            </c:ext>
          </c:extLst>
        </c:ser>
        <c:ser>
          <c:idx val="2"/>
          <c:order val="2"/>
          <c:tx>
            <c:strRef>
              <c:f>gràfiques!$A$15</c:f>
              <c:strCache>
                <c:ptCount val="1"/>
                <c:pt idx="0">
                  <c:v>2020</c:v>
                </c:pt>
              </c:strCache>
            </c:strRef>
          </c:tx>
          <c:spPr>
            <a:solidFill>
              <a:schemeClr val="accent3"/>
            </a:solidFill>
            <a:ln>
              <a:noFill/>
            </a:ln>
            <a:effectLst/>
          </c:spPr>
          <c:invertIfNegative val="0"/>
          <c:cat>
            <c:strRef>
              <c:f>gràfiques!$B$10:$M$11</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gràfiques!$B$15:$M$15</c:f>
              <c:numCache>
                <c:formatCode>_("€"* #,##0.00_);_("€"* \(#,##0.00\);_("€"* "-"??_);_(@_)</c:formatCode>
                <c:ptCount val="12"/>
                <c:pt idx="0">
                  <c:v>2400.5</c:v>
                </c:pt>
                <c:pt idx="1">
                  <c:v>3687</c:v>
                </c:pt>
                <c:pt idx="2">
                  <c:v>1353.7</c:v>
                </c:pt>
                <c:pt idx="3">
                  <c:v>0</c:v>
                </c:pt>
                <c:pt idx="4">
                  <c:v>0</c:v>
                </c:pt>
                <c:pt idx="5">
                  <c:v>447.5</c:v>
                </c:pt>
                <c:pt idx="6">
                  <c:v>1988.5</c:v>
                </c:pt>
                <c:pt idx="7">
                  <c:v>4515.4399999999996</c:v>
                </c:pt>
                <c:pt idx="8">
                  <c:v>3559.9100000000003</c:v>
                </c:pt>
                <c:pt idx="9">
                  <c:v>1293.5</c:v>
                </c:pt>
                <c:pt idx="10">
                  <c:v>466</c:v>
                </c:pt>
                <c:pt idx="11">
                  <c:v>457</c:v>
                </c:pt>
              </c:numCache>
            </c:numRef>
          </c:val>
          <c:extLst>
            <c:ext xmlns:c16="http://schemas.microsoft.com/office/drawing/2014/chart" uri="{C3380CC4-5D6E-409C-BE32-E72D297353CC}">
              <c16:uniqueId val="{00000002-9430-4727-A477-9A5A9219AEDF}"/>
            </c:ext>
          </c:extLst>
        </c:ser>
        <c:ser>
          <c:idx val="3"/>
          <c:order val="3"/>
          <c:tx>
            <c:strRef>
              <c:f>gràfiques!$A$16</c:f>
              <c:strCache>
                <c:ptCount val="1"/>
                <c:pt idx="0">
                  <c:v>2019</c:v>
                </c:pt>
              </c:strCache>
            </c:strRef>
          </c:tx>
          <c:spPr>
            <a:solidFill>
              <a:schemeClr val="accent4"/>
            </a:solidFill>
            <a:ln>
              <a:noFill/>
            </a:ln>
            <a:effectLst/>
          </c:spPr>
          <c:invertIfNegative val="0"/>
          <c:cat>
            <c:strRef>
              <c:f>gràfiques!$B$10:$M$11</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gràfiques!$B$16:$M$16</c:f>
              <c:numCache>
                <c:formatCode>_("€"* #,##0.00_);_("€"* \(#,##0.00\);_("€"* "-"??_);_(@_)</c:formatCode>
                <c:ptCount val="12"/>
                <c:pt idx="0">
                  <c:v>1112.95</c:v>
                </c:pt>
                <c:pt idx="1">
                  <c:v>2227.25</c:v>
                </c:pt>
                <c:pt idx="2">
                  <c:v>4013.4</c:v>
                </c:pt>
                <c:pt idx="3">
                  <c:v>4055.9</c:v>
                </c:pt>
                <c:pt idx="4">
                  <c:v>3561.85</c:v>
                </c:pt>
                <c:pt idx="5">
                  <c:v>3389.5499999999997</c:v>
                </c:pt>
                <c:pt idx="6">
                  <c:v>2428.6999999999998</c:v>
                </c:pt>
                <c:pt idx="7">
                  <c:v>3909.9</c:v>
                </c:pt>
                <c:pt idx="8">
                  <c:v>4589.75</c:v>
                </c:pt>
                <c:pt idx="9">
                  <c:v>4136.3</c:v>
                </c:pt>
                <c:pt idx="10">
                  <c:v>4638.05</c:v>
                </c:pt>
                <c:pt idx="11">
                  <c:v>3356.9</c:v>
                </c:pt>
              </c:numCache>
            </c:numRef>
          </c:val>
          <c:extLst>
            <c:ext xmlns:c16="http://schemas.microsoft.com/office/drawing/2014/chart" uri="{C3380CC4-5D6E-409C-BE32-E72D297353CC}">
              <c16:uniqueId val="{00000003-9430-4727-A477-9A5A9219AEDF}"/>
            </c:ext>
          </c:extLst>
        </c:ser>
        <c:ser>
          <c:idx val="4"/>
          <c:order val="4"/>
          <c:tx>
            <c:strRef>
              <c:f>gràfiques!$A$17</c:f>
              <c:strCache>
                <c:ptCount val="1"/>
                <c:pt idx="0">
                  <c:v>2018</c:v>
                </c:pt>
              </c:strCache>
            </c:strRef>
          </c:tx>
          <c:spPr>
            <a:solidFill>
              <a:schemeClr val="accent5"/>
            </a:solidFill>
            <a:ln>
              <a:noFill/>
            </a:ln>
            <a:effectLst/>
          </c:spPr>
          <c:invertIfNegative val="0"/>
          <c:cat>
            <c:strRef>
              <c:f>gràfiques!$B$10:$M$11</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gràfiques!$B$17:$M$17</c:f>
              <c:numCache>
                <c:formatCode>_("€"* #,##0.00_);_("€"* \(#,##0.00\);_("€"* "-"??_);_(@_)</c:formatCode>
                <c:ptCount val="12"/>
                <c:pt idx="0">
                  <c:v>945.8</c:v>
                </c:pt>
                <c:pt idx="1">
                  <c:v>951.45</c:v>
                </c:pt>
                <c:pt idx="2">
                  <c:v>3386.2</c:v>
                </c:pt>
                <c:pt idx="3">
                  <c:v>2995.15</c:v>
                </c:pt>
                <c:pt idx="4">
                  <c:v>2171.35</c:v>
                </c:pt>
                <c:pt idx="5">
                  <c:v>1826.1</c:v>
                </c:pt>
                <c:pt idx="6">
                  <c:v>1642.15</c:v>
                </c:pt>
                <c:pt idx="7">
                  <c:v>2582.6</c:v>
                </c:pt>
                <c:pt idx="8">
                  <c:v>2369</c:v>
                </c:pt>
                <c:pt idx="9">
                  <c:v>7121.45</c:v>
                </c:pt>
                <c:pt idx="10">
                  <c:v>3665.25</c:v>
                </c:pt>
                <c:pt idx="11">
                  <c:v>1283.6500000000001</c:v>
                </c:pt>
              </c:numCache>
            </c:numRef>
          </c:val>
          <c:extLst>
            <c:ext xmlns:c16="http://schemas.microsoft.com/office/drawing/2014/chart" uri="{C3380CC4-5D6E-409C-BE32-E72D297353CC}">
              <c16:uniqueId val="{00000004-9430-4727-A477-9A5A9219AEDF}"/>
            </c:ext>
          </c:extLst>
        </c:ser>
        <c:ser>
          <c:idx val="5"/>
          <c:order val="5"/>
          <c:tx>
            <c:strRef>
              <c:f>gràfiques!$A$12</c:f>
              <c:strCache>
                <c:ptCount val="1"/>
                <c:pt idx="0">
                  <c:v>2023</c:v>
                </c:pt>
              </c:strCache>
            </c:strRef>
          </c:tx>
          <c:spPr>
            <a:solidFill>
              <a:schemeClr val="accent6"/>
            </a:solidFill>
            <a:ln>
              <a:noFill/>
            </a:ln>
            <a:effectLst/>
          </c:spPr>
          <c:invertIfNegative val="0"/>
          <c:val>
            <c:numRef>
              <c:f>gràfiques!$B$12:$M$12</c:f>
              <c:numCache>
                <c:formatCode>_("€"* #,##0.00_);_("€"* \(#,##0.00\);_("€"* "-"??_);_(@_)</c:formatCode>
                <c:ptCount val="12"/>
                <c:pt idx="0">
                  <c:v>3722.0799999999995</c:v>
                </c:pt>
                <c:pt idx="1">
                  <c:v>5686.8099999999995</c:v>
                </c:pt>
                <c:pt idx="2">
                  <c:v>4850.08</c:v>
                </c:pt>
                <c:pt idx="3">
                  <c:v>11938.890000000001</c:v>
                </c:pt>
                <c:pt idx="4">
                  <c:v>4460.26</c:v>
                </c:pt>
                <c:pt idx="5">
                  <c:v>3737.19</c:v>
                </c:pt>
                <c:pt idx="6">
                  <c:v>3013.63</c:v>
                </c:pt>
                <c:pt idx="7">
                  <c:v>6993.7</c:v>
                </c:pt>
                <c:pt idx="8">
                  <c:v>5829.3400000000011</c:v>
                </c:pt>
                <c:pt idx="9">
                  <c:v>10798.369999999999</c:v>
                </c:pt>
                <c:pt idx="10">
                  <c:v>0</c:v>
                </c:pt>
                <c:pt idx="11">
                  <c:v>0</c:v>
                </c:pt>
              </c:numCache>
            </c:numRef>
          </c:val>
          <c:extLst>
            <c:ext xmlns:c16="http://schemas.microsoft.com/office/drawing/2014/chart" uri="{C3380CC4-5D6E-409C-BE32-E72D297353CC}">
              <c16:uniqueId val="{00000001-D260-4E0B-ACD0-07C3D77CCB62}"/>
            </c:ext>
          </c:extLst>
        </c:ser>
        <c:dLbls>
          <c:showLegendKey val="0"/>
          <c:showVal val="0"/>
          <c:showCatName val="0"/>
          <c:showSerName val="0"/>
          <c:showPercent val="0"/>
          <c:showBubbleSize val="0"/>
        </c:dLbls>
        <c:gapWidth val="219"/>
        <c:overlap val="-27"/>
        <c:axId val="493971720"/>
        <c:axId val="493970736"/>
      </c:barChart>
      <c:catAx>
        <c:axId val="493971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3970736"/>
        <c:crosses val="autoZero"/>
        <c:auto val="1"/>
        <c:lblAlgn val="ctr"/>
        <c:lblOffset val="100"/>
        <c:noMultiLvlLbl val="0"/>
      </c:catAx>
      <c:valAx>
        <c:axId val="4939707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3971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ca-ES"/>
              <a:t>Evolució de consultes ateses</a:t>
            </a:r>
          </a:p>
        </c:rich>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ca-ES"/>
        </a:p>
      </c:txPr>
    </c:title>
    <c:autoTitleDeleted val="0"/>
    <c:plotArea>
      <c:layout/>
      <c:barChart>
        <c:barDir val="col"/>
        <c:grouping val="clustered"/>
        <c:varyColors val="0"/>
        <c:ser>
          <c:idx val="0"/>
          <c:order val="0"/>
          <c:tx>
            <c:strRef>
              <c:f>gràfiques!$A$22</c:f>
              <c:strCache>
                <c:ptCount val="1"/>
                <c:pt idx="0">
                  <c:v>2022</c:v>
                </c:pt>
              </c:strCache>
            </c:strRef>
          </c:tx>
          <c:spPr>
            <a:solidFill>
              <a:schemeClr val="accent1"/>
            </a:solidFill>
            <a:ln>
              <a:noFill/>
            </a:ln>
            <a:effectLst/>
          </c:spPr>
          <c:invertIfNegative val="0"/>
          <c:cat>
            <c:strRef>
              <c:f>gràfiques!$B$19:$M$20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gràfiques!$B$22:$M$22</c:f>
              <c:numCache>
                <c:formatCode>_-* #,##0\ _€_-;\-* #,##0\ _€_-;_-* "-"??\ _€_-;_-@_-</c:formatCode>
                <c:ptCount val="12"/>
                <c:pt idx="0">
                  <c:v>308</c:v>
                </c:pt>
                <c:pt idx="1">
                  <c:v>363</c:v>
                </c:pt>
                <c:pt idx="2">
                  <c:v>325</c:v>
                </c:pt>
                <c:pt idx="3">
                  <c:v>682</c:v>
                </c:pt>
                <c:pt idx="4">
                  <c:v>367</c:v>
                </c:pt>
                <c:pt idx="5">
                  <c:v>315</c:v>
                </c:pt>
                <c:pt idx="6">
                  <c:v>313</c:v>
                </c:pt>
                <c:pt idx="7">
                  <c:v>599</c:v>
                </c:pt>
                <c:pt idx="8">
                  <c:v>480</c:v>
                </c:pt>
                <c:pt idx="9">
                  <c:v>558</c:v>
                </c:pt>
                <c:pt idx="10">
                  <c:v>34</c:v>
                </c:pt>
                <c:pt idx="11">
                  <c:v>182</c:v>
                </c:pt>
              </c:numCache>
            </c:numRef>
          </c:val>
          <c:extLst>
            <c:ext xmlns:c16="http://schemas.microsoft.com/office/drawing/2014/chart" uri="{C3380CC4-5D6E-409C-BE32-E72D297353CC}">
              <c16:uniqueId val="{00000000-5DBF-4FC1-9846-416F5E167856}"/>
            </c:ext>
          </c:extLst>
        </c:ser>
        <c:ser>
          <c:idx val="1"/>
          <c:order val="1"/>
          <c:tx>
            <c:strRef>
              <c:f>gràfiques!$A$23</c:f>
              <c:strCache>
                <c:ptCount val="1"/>
                <c:pt idx="0">
                  <c:v>2021</c:v>
                </c:pt>
              </c:strCache>
            </c:strRef>
          </c:tx>
          <c:spPr>
            <a:solidFill>
              <a:schemeClr val="accent2"/>
            </a:solidFill>
            <a:ln>
              <a:noFill/>
            </a:ln>
            <a:effectLst/>
          </c:spPr>
          <c:invertIfNegative val="0"/>
          <c:cat>
            <c:strRef>
              <c:f>gràfiques!$B$19:$M$20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gràfiques!$B$23:$M$23</c:f>
              <c:numCache>
                <c:formatCode>_-* #,##0\ _€_-;\-* #,##0\ _€_-;_-* "-"??\ _€_-;_-@_-</c:formatCode>
                <c:ptCount val="12"/>
                <c:pt idx="0">
                  <c:v>41</c:v>
                </c:pt>
                <c:pt idx="1">
                  <c:v>89</c:v>
                </c:pt>
                <c:pt idx="2">
                  <c:v>278</c:v>
                </c:pt>
                <c:pt idx="3">
                  <c:v>313</c:v>
                </c:pt>
                <c:pt idx="4">
                  <c:v>561</c:v>
                </c:pt>
                <c:pt idx="5">
                  <c:v>413</c:v>
                </c:pt>
                <c:pt idx="6">
                  <c:v>413</c:v>
                </c:pt>
                <c:pt idx="7">
                  <c:v>836</c:v>
                </c:pt>
                <c:pt idx="8">
                  <c:v>703</c:v>
                </c:pt>
                <c:pt idx="9">
                  <c:v>432</c:v>
                </c:pt>
                <c:pt idx="10">
                  <c:v>239</c:v>
                </c:pt>
                <c:pt idx="11">
                  <c:v>236</c:v>
                </c:pt>
              </c:numCache>
            </c:numRef>
          </c:val>
          <c:extLst>
            <c:ext xmlns:c16="http://schemas.microsoft.com/office/drawing/2014/chart" uri="{C3380CC4-5D6E-409C-BE32-E72D297353CC}">
              <c16:uniqueId val="{00000001-5DBF-4FC1-9846-416F5E167856}"/>
            </c:ext>
          </c:extLst>
        </c:ser>
        <c:ser>
          <c:idx val="2"/>
          <c:order val="2"/>
          <c:tx>
            <c:strRef>
              <c:f>gràfiques!$A$24</c:f>
              <c:strCache>
                <c:ptCount val="1"/>
                <c:pt idx="0">
                  <c:v>2020</c:v>
                </c:pt>
              </c:strCache>
            </c:strRef>
          </c:tx>
          <c:spPr>
            <a:solidFill>
              <a:schemeClr val="accent3"/>
            </a:solidFill>
            <a:ln>
              <a:noFill/>
            </a:ln>
            <a:effectLst/>
          </c:spPr>
          <c:invertIfNegative val="0"/>
          <c:cat>
            <c:strRef>
              <c:f>gràfiques!$B$19:$M$20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gràfiques!$B$24:$M$24</c:f>
              <c:numCache>
                <c:formatCode>_-* #,##0\ _€_-;\-* #,##0\ _€_-;_-* "-"??\ _€_-;_-@_-</c:formatCode>
                <c:ptCount val="12"/>
                <c:pt idx="0">
                  <c:v>255</c:v>
                </c:pt>
                <c:pt idx="1">
                  <c:v>790</c:v>
                </c:pt>
                <c:pt idx="2">
                  <c:v>219</c:v>
                </c:pt>
                <c:pt idx="3">
                  <c:v>0</c:v>
                </c:pt>
                <c:pt idx="4">
                  <c:v>18</c:v>
                </c:pt>
                <c:pt idx="5">
                  <c:v>108</c:v>
                </c:pt>
                <c:pt idx="6">
                  <c:v>396</c:v>
                </c:pt>
                <c:pt idx="7">
                  <c:v>548</c:v>
                </c:pt>
                <c:pt idx="8">
                  <c:v>354</c:v>
                </c:pt>
                <c:pt idx="9">
                  <c:v>400</c:v>
                </c:pt>
                <c:pt idx="10">
                  <c:v>104</c:v>
                </c:pt>
                <c:pt idx="11">
                  <c:v>237</c:v>
                </c:pt>
              </c:numCache>
            </c:numRef>
          </c:val>
          <c:extLst>
            <c:ext xmlns:c16="http://schemas.microsoft.com/office/drawing/2014/chart" uri="{C3380CC4-5D6E-409C-BE32-E72D297353CC}">
              <c16:uniqueId val="{00000002-5DBF-4FC1-9846-416F5E167856}"/>
            </c:ext>
          </c:extLst>
        </c:ser>
        <c:ser>
          <c:idx val="3"/>
          <c:order val="3"/>
          <c:tx>
            <c:strRef>
              <c:f>gràfiques!$A$25</c:f>
              <c:strCache>
                <c:ptCount val="1"/>
                <c:pt idx="0">
                  <c:v>2019</c:v>
                </c:pt>
              </c:strCache>
            </c:strRef>
          </c:tx>
          <c:spPr>
            <a:solidFill>
              <a:schemeClr val="accent4"/>
            </a:solidFill>
            <a:ln>
              <a:noFill/>
            </a:ln>
            <a:effectLst/>
          </c:spPr>
          <c:invertIfNegative val="0"/>
          <c:cat>
            <c:strRef>
              <c:f>gràfiques!$B$19:$M$20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gràfiques!$B$25:$M$25</c:f>
              <c:numCache>
                <c:formatCode>_-* #,##0\ _€_-;\-* #,##0\ _€_-;_-* "-"??\ _€_-;_-@_-</c:formatCode>
                <c:ptCount val="12"/>
                <c:pt idx="0">
                  <c:v>403</c:v>
                </c:pt>
                <c:pt idx="1">
                  <c:v>400</c:v>
                </c:pt>
                <c:pt idx="2">
                  <c:v>519</c:v>
                </c:pt>
                <c:pt idx="3">
                  <c:v>583</c:v>
                </c:pt>
                <c:pt idx="4">
                  <c:v>637</c:v>
                </c:pt>
                <c:pt idx="5">
                  <c:v>642</c:v>
                </c:pt>
                <c:pt idx="6">
                  <c:v>410</c:v>
                </c:pt>
                <c:pt idx="7">
                  <c:v>793</c:v>
                </c:pt>
                <c:pt idx="8">
                  <c:v>779</c:v>
                </c:pt>
                <c:pt idx="9">
                  <c:v>492</c:v>
                </c:pt>
                <c:pt idx="10">
                  <c:v>491</c:v>
                </c:pt>
                <c:pt idx="11">
                  <c:v>32</c:v>
                </c:pt>
              </c:numCache>
            </c:numRef>
          </c:val>
          <c:extLst>
            <c:ext xmlns:c16="http://schemas.microsoft.com/office/drawing/2014/chart" uri="{C3380CC4-5D6E-409C-BE32-E72D297353CC}">
              <c16:uniqueId val="{00000003-5DBF-4FC1-9846-416F5E167856}"/>
            </c:ext>
          </c:extLst>
        </c:ser>
        <c:ser>
          <c:idx val="4"/>
          <c:order val="4"/>
          <c:tx>
            <c:strRef>
              <c:f>gràfiques!$A$26</c:f>
              <c:strCache>
                <c:ptCount val="1"/>
                <c:pt idx="0">
                  <c:v>2018</c:v>
                </c:pt>
              </c:strCache>
            </c:strRef>
          </c:tx>
          <c:spPr>
            <a:solidFill>
              <a:schemeClr val="accent5"/>
            </a:solidFill>
            <a:ln>
              <a:noFill/>
            </a:ln>
            <a:effectLst/>
          </c:spPr>
          <c:invertIfNegative val="0"/>
          <c:cat>
            <c:strRef>
              <c:f>gràfiques!$B$19:$M$20</c:f>
              <c:strCache>
                <c:ptCount val="12"/>
                <c:pt idx="0">
                  <c:v>Gen</c:v>
                </c:pt>
                <c:pt idx="1">
                  <c:v>Feb</c:v>
                </c:pt>
                <c:pt idx="2">
                  <c:v>Mar</c:v>
                </c:pt>
                <c:pt idx="3">
                  <c:v>Abr</c:v>
                </c:pt>
                <c:pt idx="4">
                  <c:v>Mai</c:v>
                </c:pt>
                <c:pt idx="5">
                  <c:v>Jun</c:v>
                </c:pt>
                <c:pt idx="6">
                  <c:v>Jul</c:v>
                </c:pt>
                <c:pt idx="7">
                  <c:v>Ago</c:v>
                </c:pt>
                <c:pt idx="8">
                  <c:v>Set</c:v>
                </c:pt>
                <c:pt idx="9">
                  <c:v>Oct</c:v>
                </c:pt>
                <c:pt idx="10">
                  <c:v>Nov</c:v>
                </c:pt>
                <c:pt idx="11">
                  <c:v>Des</c:v>
                </c:pt>
              </c:strCache>
            </c:strRef>
          </c:cat>
          <c:val>
            <c:numRef>
              <c:f>gràfiques!$B$26:$M$26</c:f>
              <c:numCache>
                <c:formatCode>_-* #,##0\ _€_-;\-* #,##0\ _€_-;_-* "-"??\ _€_-;_-@_-</c:formatCode>
                <c:ptCount val="12"/>
                <c:pt idx="0">
                  <c:v>327</c:v>
                </c:pt>
                <c:pt idx="1">
                  <c:v>146</c:v>
                </c:pt>
                <c:pt idx="2">
                  <c:v>259</c:v>
                </c:pt>
                <c:pt idx="3">
                  <c:v>325</c:v>
                </c:pt>
                <c:pt idx="4">
                  <c:v>603</c:v>
                </c:pt>
                <c:pt idx="5">
                  <c:v>182</c:v>
                </c:pt>
                <c:pt idx="6">
                  <c:v>298</c:v>
                </c:pt>
                <c:pt idx="7">
                  <c:v>361</c:v>
                </c:pt>
                <c:pt idx="8">
                  <c:v>466</c:v>
                </c:pt>
                <c:pt idx="9">
                  <c:v>553</c:v>
                </c:pt>
                <c:pt idx="10">
                  <c:v>323</c:v>
                </c:pt>
                <c:pt idx="11">
                  <c:v>264</c:v>
                </c:pt>
              </c:numCache>
            </c:numRef>
          </c:val>
          <c:extLst>
            <c:ext xmlns:c16="http://schemas.microsoft.com/office/drawing/2014/chart" uri="{C3380CC4-5D6E-409C-BE32-E72D297353CC}">
              <c16:uniqueId val="{00000004-5DBF-4FC1-9846-416F5E167856}"/>
            </c:ext>
          </c:extLst>
        </c:ser>
        <c:ser>
          <c:idx val="5"/>
          <c:order val="5"/>
          <c:tx>
            <c:strRef>
              <c:f>gràfiques!$A$21</c:f>
              <c:strCache>
                <c:ptCount val="1"/>
                <c:pt idx="0">
                  <c:v>2023</c:v>
                </c:pt>
              </c:strCache>
            </c:strRef>
          </c:tx>
          <c:spPr>
            <a:solidFill>
              <a:schemeClr val="accent6"/>
            </a:solidFill>
            <a:ln>
              <a:noFill/>
            </a:ln>
            <a:effectLst/>
          </c:spPr>
          <c:invertIfNegative val="0"/>
          <c:val>
            <c:numRef>
              <c:f>gràfiques!$B$21:$M$21</c:f>
              <c:numCache>
                <c:formatCode>_-* #,##0\ _€_-;\-* #,##0\ _€_-;_-* "-"??\ _€_-;_-@_-</c:formatCode>
                <c:ptCount val="12"/>
                <c:pt idx="0">
                  <c:v>263</c:v>
                </c:pt>
                <c:pt idx="1">
                  <c:v>398</c:v>
                </c:pt>
                <c:pt idx="2">
                  <c:v>447</c:v>
                </c:pt>
                <c:pt idx="3">
                  <c:v>647</c:v>
                </c:pt>
                <c:pt idx="4">
                  <c:v>435</c:v>
                </c:pt>
                <c:pt idx="5">
                  <c:v>317</c:v>
                </c:pt>
                <c:pt idx="6">
                  <c:v>292</c:v>
                </c:pt>
                <c:pt idx="7">
                  <c:v>556</c:v>
                </c:pt>
                <c:pt idx="8">
                  <c:v>370</c:v>
                </c:pt>
                <c:pt idx="9">
                  <c:v>771</c:v>
                </c:pt>
                <c:pt idx="10">
                  <c:v>0</c:v>
                </c:pt>
                <c:pt idx="11">
                  <c:v>0</c:v>
                </c:pt>
              </c:numCache>
            </c:numRef>
          </c:val>
          <c:extLst>
            <c:ext xmlns:c16="http://schemas.microsoft.com/office/drawing/2014/chart" uri="{C3380CC4-5D6E-409C-BE32-E72D297353CC}">
              <c16:uniqueId val="{00000000-532F-480C-92E0-5465F61E7BEB}"/>
            </c:ext>
          </c:extLst>
        </c:ser>
        <c:dLbls>
          <c:showLegendKey val="0"/>
          <c:showVal val="0"/>
          <c:showCatName val="0"/>
          <c:showSerName val="0"/>
          <c:showPercent val="0"/>
          <c:showBubbleSize val="0"/>
        </c:dLbls>
        <c:gapWidth val="219"/>
        <c:overlap val="-27"/>
        <c:axId val="490214328"/>
        <c:axId val="490214656"/>
      </c:barChart>
      <c:catAx>
        <c:axId val="4902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0214656"/>
        <c:crosses val="autoZero"/>
        <c:auto val="1"/>
        <c:lblAlgn val="ctr"/>
        <c:lblOffset val="100"/>
        <c:noMultiLvlLbl val="0"/>
      </c:catAx>
      <c:valAx>
        <c:axId val="490214656"/>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490214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28</xdr:row>
      <xdr:rowOff>23812</xdr:rowOff>
    </xdr:from>
    <xdr:to>
      <xdr:col>6</xdr:col>
      <xdr:colOff>285750</xdr:colOff>
      <xdr:row>42</xdr:row>
      <xdr:rowOff>100012</xdr:rowOff>
    </xdr:to>
    <xdr:graphicFrame macro="">
      <xdr:nvGraphicFramePr>
        <xdr:cNvPr id="2" name="Gràfic 1">
          <a:extLst>
            <a:ext uri="{FF2B5EF4-FFF2-40B4-BE49-F238E27FC236}">
              <a16:creationId xmlns:a16="http://schemas.microsoft.com/office/drawing/2014/main" id="{792F8955-9E55-4ADB-9EEC-B5851A78FB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28</xdr:row>
      <xdr:rowOff>4762</xdr:rowOff>
    </xdr:from>
    <xdr:to>
      <xdr:col>12</xdr:col>
      <xdr:colOff>514350</xdr:colOff>
      <xdr:row>42</xdr:row>
      <xdr:rowOff>80962</xdr:rowOff>
    </xdr:to>
    <xdr:graphicFrame macro="">
      <xdr:nvGraphicFramePr>
        <xdr:cNvPr id="3" name="Gràfic 2">
          <a:extLst>
            <a:ext uri="{FF2B5EF4-FFF2-40B4-BE49-F238E27FC236}">
              <a16:creationId xmlns:a16="http://schemas.microsoft.com/office/drawing/2014/main" id="{EADC3CAC-0B00-4A7C-A4BD-B5A093D1E7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228600</xdr:colOff>
      <xdr:row>43</xdr:row>
      <xdr:rowOff>157162</xdr:rowOff>
    </xdr:from>
    <xdr:to>
      <xdr:col>9</xdr:col>
      <xdr:colOff>352425</xdr:colOff>
      <xdr:row>58</xdr:row>
      <xdr:rowOff>42862</xdr:rowOff>
    </xdr:to>
    <xdr:graphicFrame macro="">
      <xdr:nvGraphicFramePr>
        <xdr:cNvPr id="4" name="Gràfic 3">
          <a:extLst>
            <a:ext uri="{FF2B5EF4-FFF2-40B4-BE49-F238E27FC236}">
              <a16:creationId xmlns:a16="http://schemas.microsoft.com/office/drawing/2014/main" id="{FBFA2DAB-EBEF-4A21-A404-87A8C061D8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STALRIC245\Oficines\H100%20PROMOCI&#211;%20ECON&#210;MICA\H101%20Desenvolupament%20territorial\H102%20Turisme\H104a%20Oficina%20de%20Turisme\21-02%20Estad&#237;stiques\_Control%20estadi&#769;stic_fortalesa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100%20PROMOCI&#211;%20ECON&#210;MICA/H101%20Desenvolupament%20territorial/H102%20Turisme/H104r%20Botiga_Domus/2021/Vendes/Vendes%20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STALRIC245\Oficines\H100%20PROMOCI&#211;%20ECON&#210;MICA\H101%20Desenvolupament%20territorial\H102%20Turisme\H104a%20Oficina%20de%20Turisme\02-20%20Estad&#237;stiques\_Control%20estadi&#769;stic_fortalesa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STALRIC245\H100%20PROMOCI&#211;%20ECON&#210;MICA\H101%20Desenvolupament%20territorial\H102%20Turisme\H104r%20Botiga_Domus\2019\Vendes\Vendes%2020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100%20PROMOCI&#211;%20ECON&#210;MICA/H101%20Desenvolupament%20territorial/H102%20Turisme/H102d%20Comercialitzaci&#243;/2020/03-20%20Facturaci&#243;%20Domus/Facturaci&#243;%20Domus%20Tallers%20+%20Lloguer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 ANUAL"/>
      <sheetName val="Full1"/>
      <sheetName val="Gener"/>
      <sheetName val="Febrer"/>
      <sheetName val="Març"/>
      <sheetName val="Abril"/>
      <sheetName val="Maig"/>
      <sheetName val="Juny"/>
      <sheetName val="Juliol"/>
      <sheetName val="Agost"/>
      <sheetName val="Setembre"/>
      <sheetName val="Octubre"/>
      <sheetName val="Novembre"/>
      <sheetName val="Desembre"/>
      <sheetName val="Botiga"/>
    </sheetNames>
    <sheetDataSet>
      <sheetData sheetId="0" refreshError="1">
        <row r="3">
          <cell r="F3">
            <v>23</v>
          </cell>
          <cell r="G3">
            <v>35</v>
          </cell>
        </row>
        <row r="4">
          <cell r="G4">
            <v>456</v>
          </cell>
        </row>
        <row r="8">
          <cell r="F8">
            <v>93</v>
          </cell>
          <cell r="G8">
            <v>113</v>
          </cell>
        </row>
        <row r="15">
          <cell r="F15">
            <v>1230.4599999999998</v>
          </cell>
          <cell r="G15">
            <v>1307.0899999999999</v>
          </cell>
        </row>
        <row r="16">
          <cell r="F16">
            <v>440.14</v>
          </cell>
          <cell r="G16">
            <v>536.11999999999989</v>
          </cell>
        </row>
      </sheetData>
      <sheetData sheetId="1" refreshError="1"/>
      <sheetData sheetId="2" refreshError="1"/>
      <sheetData sheetId="3" refreshError="1"/>
      <sheetData sheetId="4" refreshError="1"/>
      <sheetData sheetId="5" refreshError="1">
        <row r="183">
          <cell r="I183">
            <v>424</v>
          </cell>
        </row>
      </sheetData>
      <sheetData sheetId="6" refreshError="1">
        <row r="227">
          <cell r="G227">
            <v>59</v>
          </cell>
          <cell r="H227">
            <v>144.13999999999999</v>
          </cell>
        </row>
        <row r="228">
          <cell r="G228">
            <v>93</v>
          </cell>
          <cell r="H228">
            <v>444.12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row r="5">
          <cell r="D5">
            <v>17.600000000000001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OTIGA 2021"/>
      <sheetName val="Gener"/>
      <sheetName val="Febrer"/>
      <sheetName val="Març"/>
      <sheetName val="Abril"/>
      <sheetName val="Maig"/>
      <sheetName val="Juny"/>
      <sheetName val="Juliol"/>
      <sheetName val="Agost"/>
      <sheetName val="Setembre"/>
      <sheetName val="Octubre"/>
      <sheetName val="Novembre"/>
      <sheetName val="Desembre"/>
      <sheetName val="Hoja1"/>
    </sheetNames>
    <sheetDataSet>
      <sheetData sheetId="0">
        <row r="6">
          <cell r="B6">
            <v>404.78999999999991</v>
          </cell>
          <cell r="I6">
            <v>114</v>
          </cell>
        </row>
        <row r="7">
          <cell r="F7">
            <v>14</v>
          </cell>
          <cell r="I7">
            <v>216</v>
          </cell>
        </row>
        <row r="22">
          <cell r="F22">
            <v>4</v>
          </cell>
          <cell r="I22">
            <v>305.78999999999996</v>
          </cell>
        </row>
        <row r="23">
          <cell r="F23">
            <v>27</v>
          </cell>
          <cell r="I23">
            <v>544.69999999999982</v>
          </cell>
        </row>
      </sheetData>
      <sheetData sheetId="1"/>
      <sheetData sheetId="2"/>
      <sheetData sheetId="3"/>
      <sheetData sheetId="4">
        <row r="75">
          <cell r="J75">
            <v>305.78999999999996</v>
          </cell>
        </row>
      </sheetData>
      <sheetData sheetId="5"/>
      <sheetData sheetId="6"/>
      <sheetData sheetId="7"/>
      <sheetData sheetId="8"/>
      <sheetData sheetId="9"/>
      <sheetData sheetId="10"/>
      <sheetData sheetId="11"/>
      <sheetData sheetId="12">
        <row r="34">
          <cell r="I34">
            <v>57</v>
          </cell>
          <cell r="J34">
            <v>157.5</v>
          </cell>
        </row>
        <row r="47">
          <cell r="I47">
            <v>21</v>
          </cell>
          <cell r="J47">
            <v>47.46</v>
          </cell>
        </row>
        <row r="57">
          <cell r="I57">
            <v>14</v>
          </cell>
          <cell r="J57">
            <v>24.5</v>
          </cell>
        </row>
        <row r="62">
          <cell r="J62">
            <v>23.28</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 ANUAL"/>
      <sheetName val="Gener"/>
      <sheetName val="Febrer"/>
      <sheetName val="Març"/>
      <sheetName val="Abril"/>
      <sheetName val="Maig"/>
      <sheetName val="Juny"/>
      <sheetName val="Juliol"/>
      <sheetName val="Agost"/>
      <sheetName val="Setembre"/>
      <sheetName val="Octubre"/>
      <sheetName val="Novembre"/>
      <sheetName val="Desembre"/>
      <sheetName val="Botiga"/>
    </sheetNames>
    <sheetDataSet>
      <sheetData sheetId="0" refreshError="1">
        <row r="3">
          <cell r="N3">
            <v>53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OTIGA 2019"/>
      <sheetName val="Gener"/>
      <sheetName val="Febrer"/>
      <sheetName val="Març"/>
      <sheetName val="Abril"/>
      <sheetName val="Maig"/>
      <sheetName val="Juny"/>
      <sheetName val="Juliol"/>
      <sheetName val="Agost"/>
      <sheetName val="Setembre"/>
      <sheetName val="Octubre"/>
      <sheetName val="Novembre"/>
      <sheetName val="Desembre"/>
    </sheetNames>
    <sheetDataSet>
      <sheetData sheetId="0" refreshError="1">
        <row r="10">
          <cell r="F10">
            <v>46</v>
          </cell>
        </row>
        <row r="11">
          <cell r="F11">
            <v>25</v>
          </cell>
          <cell r="I11">
            <v>77</v>
          </cell>
        </row>
        <row r="14">
          <cell r="F14">
            <v>8</v>
          </cell>
        </row>
        <row r="26">
          <cell r="F26">
            <v>67</v>
          </cell>
        </row>
        <row r="27">
          <cell r="F27">
            <v>41</v>
          </cell>
          <cell r="I27">
            <v>204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ers"/>
      <sheetName val="Castell"/>
      <sheetName val="Lloguers"/>
      <sheetName val="Hoja1"/>
    </sheetNames>
    <sheetDataSet>
      <sheetData sheetId="0">
        <row r="7">
          <cell r="H7">
            <v>4655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Lidia - Centre Domus" id="{D6CB9ED8-97F3-4C0A-B07C-1C9656ECE433}" userId="Lidia - Centre Domus" providerId="None"/>
  <person displayName="Domus" id="{0E68912E-915C-4CB1-8C11-3488BCB41047}" userId="S-1-5-21-1405967495-3961133992-1436267920-2624" providerId="AD"/>
</personList>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 dT="2022-05-02T10:24:38.31" personId="{0E68912E-915C-4CB1-8C11-3488BCB41047}" id="{5C56A2B2-B941-4D79-80C2-F01843DB0943}">
    <text>Fira Medieval</text>
  </threadedComment>
  <threadedComment ref="F32" dT="2022-05-02T10:24:38.31" personId="{0E68912E-915C-4CB1-8C11-3488BCB41047}" id="{1B1627FB-677D-4BBF-8CE3-62C43FCA028B}">
    <text>Fira Medieval</text>
  </threadedComment>
  <threadedComment ref="M43" dT="2022-12-06T12:45:18.73" personId="{D6CB9ED8-97F3-4C0A-B07C-1C9656ECE433}" id="{13072D1D-067D-442A-8240-ADF69F9A5212}">
    <text>Inclou grup només tast (122 persones)</text>
  </threadedComment>
  <threadedComment ref="M52" dT="2022-12-06T12:45:02.14" personId="{D6CB9ED8-97F3-4C0A-B07C-1C9656ECE433}" id="{8626C32C-2124-46DA-95FA-7BDE0A408790}">
    <text>Inclou tast (610€)</text>
  </threadedComment>
  <threadedComment ref="C60" dT="2021-02-02T09:52:28.78" personId="{0E68912E-915C-4CB1-8C11-3488BCB41047}" id="{2AED41E8-0162-4D20-AF97-9913FAF5C86C}">
    <text>Confinament municipal tot el mes</text>
  </threadedComment>
  <threadedComment ref="D60" dT="2021-03-01T11:54:09.90" personId="{D6CB9ED8-97F3-4C0A-B07C-1C9656ECE433}" id="{A58D4B14-6151-420F-A877-A39ED3400230}">
    <text>Confinament municipal fins el 7/02 i confimanet comarcal la resta del mes</text>
  </threadedComment>
  <threadedComment ref="F60" dT="2021-04-26T07:08:05.52" personId="{D6CB9ED8-97F3-4C0A-B07C-1C9656ECE433}" id="{79EA2BE1-1826-4CE6-908C-96ED1FB5C951}">
    <text>Del 2-5/04 no hi ha confinament castell obert cada dia, del 6/04 al 30/04 confinament comarcal obert només caps de setmana matí</text>
  </threadedComment>
  <threadedComment ref="G71" dT="2021-05-24T09:40:45.61" personId="{D6CB9ED8-97F3-4C0A-B07C-1C9656ECE433}" id="{0FEB766A-C899-4539-84EF-F8813A5813B0}">
    <text>No se n'ha realitzat cap, comencem el 5/06</text>
  </threadedComment>
  <threadedComment ref="G81" dT="2021-05-24T09:46:54.49" personId="{D6CB9ED8-97F3-4C0A-B07C-1C9656ECE433}" id="{74A59FA0-A2CE-4543-9229-6E7B4154BAB7}">
    <text>No se n'ha realitzat cap, comencem el 5/06</text>
  </threadedComment>
  <threadedComment ref="F87" dT="2021-01-04T10:13:20.79" personId="{0E68912E-915C-4CB1-8C11-3488BCB41047}" id="{2D431436-2086-4196-A6E9-F5F411D9419F}">
    <text>Tancat: confinament</text>
  </threadedComment>
  <threadedComment ref="G87" dT="2021-01-04T10:13:34.67" personId="{0E68912E-915C-4CB1-8C11-3488BCB41047}" id="{534EF98D-CAB2-47B0-A8D1-D1863B01D17A}">
    <text>Tancat: confinament</text>
  </threadedComment>
  <threadedComment ref="M87" dT="2021-01-04T09:49:05.92" personId="{0E68912E-915C-4CB1-8C11-3488BCB41047}" id="{8CF648E8-E736-4777-B316-57352D046F83}">
    <text>Confinament municipal tot el mes</text>
  </threadedComment>
  <threadedComment ref="N87" dT="2021-01-04T09:51:15.31" personId="{0E68912E-915C-4CB1-8C11-3488BCB41047}" id="{B10FA439-7E85-40D4-88B5-A5B122F0E3E8}">
    <text>Castell: obert 5 i 6 per residents locals, 7 i 8/12 i a partir del 19/12. OIT tancada caps de setmana fins el 19 i 20/12</text>
  </threadedComment>
</ThreadedComments>
</file>

<file path=xl/threadedComments/threadedComment2.xml><?xml version="1.0" encoding="utf-8"?>
<ThreadedComments xmlns="http://schemas.microsoft.com/office/spreadsheetml/2018/threadedcomments" xmlns:x="http://schemas.openxmlformats.org/spreadsheetml/2006/main">
  <threadedComment ref="B38" dT="2021-02-02T09:52:28.78" personId="{0E68912E-915C-4CB1-8C11-3488BCB41047}" id="{1E1EA8DC-D6F1-468C-B461-067963981D37}">
    <text>Confinament municipal tot el mes</text>
  </threadedComment>
  <threadedComment ref="C38" dT="2021-03-01T11:54:09.90" personId="{D6CB9ED8-97F3-4C0A-B07C-1C9656ECE433}" id="{909A97CB-8EF4-4A0E-B983-1ED4FFC5FAC6}">
    <text>Confinament municipal fins el 7/02 i confimanet comarcal la resta del mes</text>
  </threadedComment>
  <threadedComment ref="E38" dT="2021-04-26T07:08:05.52" personId="{D6CB9ED8-97F3-4C0A-B07C-1C9656ECE433}" id="{DDFA9049-C79F-4812-9558-E2E301E90D7A}">
    <text>Del 2-5/04 no hi ha confinament castell obert cada dia, del 6/04 al 30/04 confinament comarcal obert només caps de setmana matí</text>
  </threadedComment>
  <threadedComment ref="B46" dT="2021-02-02T09:52:28.78" personId="{0E68912E-915C-4CB1-8C11-3488BCB41047}" id="{EFE0D729-464F-4F0D-B1F1-819E1B4782FA}">
    <text>Confinament municipal tot el mes</text>
  </threadedComment>
  <threadedComment ref="C46" dT="2021-03-01T11:54:09.90" personId="{D6CB9ED8-97F3-4C0A-B07C-1C9656ECE433}" id="{6F9C8097-F533-4871-985C-94BE161514AD}">
    <text>Confinament municipal fins el 7/02 i confimanet comarcal la resta del mes</text>
  </threadedComment>
  <threadedComment ref="E46" dT="2021-04-26T07:08:05.52" personId="{D6CB9ED8-97F3-4C0A-B07C-1C9656ECE433}" id="{897AE85D-4CF1-4D3A-B3AC-464B1C0F339F}">
    <text>Del 2-5/04 no hi ha confinament castell obert cada dia, del 6/04 al 30/04 confinament comarcal obert només caps de setmana matí</text>
  </threadedComment>
</ThreadedComments>
</file>

<file path=xl/threadedComments/threadedComment3.xml><?xml version="1.0" encoding="utf-8"?>
<ThreadedComments xmlns="http://schemas.microsoft.com/office/spreadsheetml/2018/threadedcomments" xmlns:x="http://schemas.openxmlformats.org/spreadsheetml/2006/main">
  <threadedComment ref="E2" dT="2022-05-02T10:24:38.31" personId="{0E68912E-915C-4CB1-8C11-3488BCB41047}" id="{1D44D991-C2CA-4632-BF2C-1CF582C29A9D}">
    <text>Fira Medieval</text>
  </threadedComment>
  <threadedComment ref="E11" dT="2022-05-02T10:24:38.31" personId="{0E68912E-915C-4CB1-8C11-3488BCB41047}" id="{9298BA50-6375-4C3D-A1B2-D344E4EF56EA}">
    <text>Fira Medieval</text>
  </threadedComment>
  <threadedComment ref="E20" dT="2022-05-02T10:24:38.31" personId="{0E68912E-915C-4CB1-8C11-3488BCB41047}" id="{36A48A0F-9BDF-48FF-8D96-16332F10889A}">
    <text>Fira Medieval</text>
  </threadedComment>
</ThreadedComments>
</file>

<file path=xl/threadedComments/threadedComment4.xml><?xml version="1.0" encoding="utf-8"?>
<ThreadedComments xmlns="http://schemas.microsoft.com/office/spreadsheetml/2018/threadedcomments" xmlns:x="http://schemas.openxmlformats.org/spreadsheetml/2006/main">
  <threadedComment ref="S21" dT="2021-01-04T10:26:00.55" personId="{0E68912E-915C-4CB1-8C11-3488BCB41047}" id="{B596419C-6633-475F-9326-CA441FB13387}">
    <text>Falta afegir els esdeveniments/ingressos del castell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33C31-5430-49B5-BA16-D723897EDA3F}">
  <sheetPr>
    <pageSetUpPr fitToPage="1"/>
  </sheetPr>
  <dimension ref="A1:K45"/>
  <sheetViews>
    <sheetView zoomScaleNormal="100" workbookViewId="0">
      <selection activeCell="B9" sqref="B9"/>
    </sheetView>
  </sheetViews>
  <sheetFormatPr defaultColWidth="9.140625" defaultRowHeight="15" x14ac:dyDescent="0.25"/>
  <cols>
    <col min="1" max="1" width="11.85546875" customWidth="1"/>
    <col min="2" max="2" width="41.5703125" bestFit="1" customWidth="1"/>
    <col min="3" max="7" width="12" bestFit="1" customWidth="1"/>
    <col min="8" max="11" width="17.5703125" bestFit="1" customWidth="1"/>
  </cols>
  <sheetData>
    <row r="1" spans="1:11" ht="15.75" thickBot="1" x14ac:dyDescent="0.3">
      <c r="C1" s="214">
        <v>2023</v>
      </c>
      <c r="D1" s="214">
        <v>2022</v>
      </c>
      <c r="E1" s="214">
        <v>2021</v>
      </c>
      <c r="F1" s="212">
        <v>2020</v>
      </c>
      <c r="G1" s="213">
        <v>2019</v>
      </c>
      <c r="H1" s="375" t="s">
        <v>86</v>
      </c>
      <c r="I1" s="247" t="s">
        <v>79</v>
      </c>
      <c r="J1" s="212" t="s">
        <v>80</v>
      </c>
      <c r="K1" s="213" t="s">
        <v>81</v>
      </c>
    </row>
    <row r="2" spans="1:11" ht="15.75" customHeight="1" thickBot="1" x14ac:dyDescent="0.3">
      <c r="A2" s="386"/>
      <c r="B2" s="387"/>
      <c r="C2" s="255"/>
      <c r="D2" s="255"/>
      <c r="E2" s="378"/>
      <c r="F2" s="379"/>
      <c r="G2" s="379"/>
      <c r="H2" s="379"/>
      <c r="I2" s="379"/>
      <c r="J2" s="379"/>
      <c r="K2" s="380"/>
    </row>
    <row r="3" spans="1:11" x14ac:dyDescent="0.25">
      <c r="A3" s="383" t="s">
        <v>48</v>
      </c>
      <c r="B3" s="74" t="s">
        <v>47</v>
      </c>
      <c r="C3" s="374">
        <f>'Evolució mensual_anys'!O3</f>
        <v>80</v>
      </c>
      <c r="D3" s="250">
        <f>'Evolució Anual'!O3</f>
        <v>87</v>
      </c>
      <c r="E3" s="211">
        <f>'Evolució mensual_anys'!O61</f>
        <v>159</v>
      </c>
      <c r="F3" s="221">
        <f>'Evolució mensual_anys'!O88</f>
        <v>494</v>
      </c>
      <c r="G3" s="221">
        <f>'Evolució mensual_anys'!O111</f>
        <v>523</v>
      </c>
      <c r="H3" s="312"/>
      <c r="I3" s="216">
        <f t="shared" ref="I3:J5" si="0">(D3-E3)/E3</f>
        <v>-0.45283018867924529</v>
      </c>
      <c r="J3" s="216">
        <f t="shared" si="0"/>
        <v>-0.67813765182186236</v>
      </c>
      <c r="K3" s="216">
        <f>(E3-G3)/G3</f>
        <v>-0.69598470363288722</v>
      </c>
    </row>
    <row r="4" spans="1:11" ht="15.75" thickBot="1" x14ac:dyDescent="0.3">
      <c r="A4" s="385"/>
      <c r="B4" s="76" t="s">
        <v>55</v>
      </c>
      <c r="C4" s="241">
        <f>'Evolució mensual_anys'!O4</f>
        <v>4416</v>
      </c>
      <c r="D4" s="241">
        <f>'Evolució Anual'!O4</f>
        <v>4439</v>
      </c>
      <c r="E4" s="241">
        <f>'Evolució mensual_anys'!O62</f>
        <v>4395</v>
      </c>
      <c r="F4" s="99">
        <f>'Evolució mensual_anys'!O89</f>
        <v>2935</v>
      </c>
      <c r="G4" s="99">
        <f>'Evolució mensual_anys'!O112</f>
        <v>5658</v>
      </c>
      <c r="H4" s="98"/>
      <c r="I4" s="217">
        <f t="shared" si="0"/>
        <v>1.0011376564277589E-2</v>
      </c>
      <c r="J4" s="217">
        <f t="shared" si="0"/>
        <v>0.49744463373083475</v>
      </c>
      <c r="K4" s="217">
        <f>(E4-G4)/G4</f>
        <v>-0.22322375397667021</v>
      </c>
    </row>
    <row r="5" spans="1:11" ht="15.75" thickBot="1" x14ac:dyDescent="0.3">
      <c r="A5" s="199"/>
      <c r="B5" s="200"/>
      <c r="C5" s="333">
        <f>'Evolució mensual_anys'!O5</f>
        <v>4496</v>
      </c>
      <c r="D5" s="333">
        <f t="shared" ref="D5:G5" si="1">SUM(D3:D4)</f>
        <v>4526</v>
      </c>
      <c r="E5" s="330">
        <f t="shared" si="1"/>
        <v>4554</v>
      </c>
      <c r="F5" s="330">
        <f t="shared" si="1"/>
        <v>3429</v>
      </c>
      <c r="G5" s="330">
        <f t="shared" si="1"/>
        <v>6181</v>
      </c>
      <c r="H5" s="330"/>
      <c r="I5" s="218">
        <f t="shared" si="0"/>
        <v>-6.148440931049627E-3</v>
      </c>
      <c r="J5" s="218">
        <f t="shared" si="0"/>
        <v>0.32808398950131235</v>
      </c>
      <c r="K5" s="218">
        <f>(E5-G5)/G5</f>
        <v>-0.26322601520789518</v>
      </c>
    </row>
    <row r="6" spans="1:11" ht="15.75" thickBot="1" x14ac:dyDescent="0.3">
      <c r="A6" s="199"/>
      <c r="B6" s="196"/>
      <c r="C6" s="200"/>
      <c r="D6" s="200"/>
      <c r="E6" s="219"/>
      <c r="F6" s="219"/>
      <c r="G6" s="219"/>
      <c r="H6" s="219"/>
      <c r="I6" s="219"/>
      <c r="J6" s="220"/>
    </row>
    <row r="7" spans="1:11" ht="15.75" thickBot="1" x14ac:dyDescent="0.3">
      <c r="C7" s="214">
        <v>2023</v>
      </c>
      <c r="D7" s="214">
        <v>2022</v>
      </c>
      <c r="E7" s="214">
        <v>2021</v>
      </c>
      <c r="F7" s="212">
        <v>2020</v>
      </c>
      <c r="G7" s="213">
        <v>2019</v>
      </c>
      <c r="H7" s="308" t="s">
        <v>86</v>
      </c>
      <c r="I7" s="247" t="s">
        <v>71</v>
      </c>
      <c r="J7" s="222" t="s">
        <v>67</v>
      </c>
      <c r="K7" s="222" t="s">
        <v>68</v>
      </c>
    </row>
    <row r="8" spans="1:11" ht="15.75" thickBot="1" x14ac:dyDescent="0.3">
      <c r="A8" s="381"/>
      <c r="B8" s="382"/>
      <c r="C8" s="316"/>
      <c r="D8" s="256"/>
      <c r="E8" s="378"/>
      <c r="F8" s="379"/>
      <c r="G8" s="379"/>
      <c r="H8" s="388"/>
      <c r="I8" s="379"/>
      <c r="J8" s="379"/>
      <c r="K8" s="380"/>
    </row>
    <row r="9" spans="1:11" x14ac:dyDescent="0.25">
      <c r="A9" s="383" t="s">
        <v>30</v>
      </c>
      <c r="B9" s="73" t="s">
        <v>27</v>
      </c>
      <c r="C9" s="242">
        <f>'Evolució mensual_anys'!O8</f>
        <v>4494</v>
      </c>
      <c r="D9" s="242">
        <f>'Evolució Anual'!O7</f>
        <v>5876</v>
      </c>
      <c r="E9" s="242">
        <f>'Evolució mensual_anys'!O66</f>
        <v>5005</v>
      </c>
      <c r="F9" s="242">
        <f>'Evolució mensual_anys'!O92</f>
        <v>3200</v>
      </c>
      <c r="G9" s="242">
        <f>'Evolució mensual_anys'!O115</f>
        <v>4462</v>
      </c>
      <c r="H9" s="216"/>
      <c r="I9" s="338">
        <f t="shared" ref="I9:J13" si="2">(D9-E9)/E9</f>
        <v>0.17402597402597403</v>
      </c>
      <c r="J9" s="216">
        <f t="shared" si="2"/>
        <v>0.56406250000000002</v>
      </c>
      <c r="K9" s="216">
        <f>(E9-G9)/E9</f>
        <v>0.10849150849150849</v>
      </c>
    </row>
    <row r="10" spans="1:11" x14ac:dyDescent="0.25">
      <c r="A10" s="384"/>
      <c r="B10" s="71" t="s">
        <v>45</v>
      </c>
      <c r="C10" s="98">
        <f>'Evolució mensual_anys'!O9</f>
        <v>1497</v>
      </c>
      <c r="D10" s="98">
        <f>'Evolució Anual'!O8</f>
        <v>1682</v>
      </c>
      <c r="E10" s="98">
        <f>'Evolució mensual_anys'!O67</f>
        <v>1124</v>
      </c>
      <c r="F10" s="98">
        <f>'Evolució mensual_anys'!O93</f>
        <v>805</v>
      </c>
      <c r="G10" s="98">
        <f>'Evolució mensual_anys'!O116</f>
        <v>2975</v>
      </c>
      <c r="H10" s="217"/>
      <c r="I10" s="339">
        <f t="shared" si="2"/>
        <v>0.49644128113879005</v>
      </c>
      <c r="J10" s="217">
        <f t="shared" si="2"/>
        <v>0.39627329192546584</v>
      </c>
      <c r="K10" s="217">
        <f t="shared" ref="K10:K16" si="3">(E10-G10)/E10</f>
        <v>-1.646797153024911</v>
      </c>
    </row>
    <row r="11" spans="1:11" x14ac:dyDescent="0.25">
      <c r="A11" s="384"/>
      <c r="B11" s="71" t="s">
        <v>28</v>
      </c>
      <c r="C11" s="98">
        <f>'Evolució mensual_anys'!O10</f>
        <v>1413</v>
      </c>
      <c r="D11" s="98">
        <f>'Evolució Anual'!O9</f>
        <v>1608</v>
      </c>
      <c r="E11" s="98">
        <f>'Evolució mensual_anys'!O68</f>
        <v>1501</v>
      </c>
      <c r="F11" s="98">
        <f>'Evolució mensual_anys'!O94</f>
        <v>866</v>
      </c>
      <c r="G11" s="85">
        <f>'Evolució mensual_anys'!O117</f>
        <v>1062</v>
      </c>
      <c r="H11" s="217"/>
      <c r="I11" s="339">
        <f t="shared" si="2"/>
        <v>7.1285809460359756E-2</v>
      </c>
      <c r="J11" s="217">
        <f t="shared" si="2"/>
        <v>0.73325635103926101</v>
      </c>
      <c r="K11" s="217">
        <f t="shared" si="3"/>
        <v>0.29247168554297137</v>
      </c>
    </row>
    <row r="12" spans="1:11" x14ac:dyDescent="0.25">
      <c r="A12" s="384"/>
      <c r="B12" s="71" t="s">
        <v>29</v>
      </c>
      <c r="C12" s="98">
        <f>'Evolució mensual_anys'!O11</f>
        <v>349</v>
      </c>
      <c r="D12" s="98">
        <f>'Evolució Anual'!O10</f>
        <v>125</v>
      </c>
      <c r="E12" s="98">
        <f>'Evolució mensual_anys'!O69</f>
        <v>213</v>
      </c>
      <c r="F12" s="98">
        <f>'Evolució mensual_anys'!O95</f>
        <v>136</v>
      </c>
      <c r="G12" s="85">
        <f>'Evolució mensual_anys'!O118</f>
        <v>256</v>
      </c>
      <c r="H12" s="217"/>
      <c r="I12" s="339">
        <f t="shared" si="2"/>
        <v>-0.41314553990610331</v>
      </c>
      <c r="J12" s="217">
        <f t="shared" si="2"/>
        <v>0.56617647058823528</v>
      </c>
      <c r="K12" s="217">
        <f t="shared" si="3"/>
        <v>-0.20187793427230047</v>
      </c>
    </row>
    <row r="13" spans="1:11" x14ac:dyDescent="0.25">
      <c r="A13" s="384"/>
      <c r="B13" s="71" t="s">
        <v>46</v>
      </c>
      <c r="C13" s="98">
        <f>'Evolució mensual_anys'!O13</f>
        <v>5262</v>
      </c>
      <c r="D13" s="98">
        <f>'Evolució Anual'!O11</f>
        <v>4516</v>
      </c>
      <c r="E13" s="98">
        <f>'Evolució mensual_anys'!O70</f>
        <v>1459</v>
      </c>
      <c r="F13" s="98">
        <f>'Evolució mensual_anys'!O96</f>
        <v>1675</v>
      </c>
      <c r="G13" s="98">
        <f>'Evolució mensual_anys'!O119</f>
        <v>6299</v>
      </c>
      <c r="H13" s="217"/>
      <c r="I13" s="339">
        <f t="shared" si="2"/>
        <v>2.0952707333790266</v>
      </c>
      <c r="J13" s="217">
        <f t="shared" si="2"/>
        <v>-0.12895522388059702</v>
      </c>
      <c r="K13" s="217">
        <f t="shared" si="3"/>
        <v>-3.3173406442769018</v>
      </c>
    </row>
    <row r="14" spans="1:11" x14ac:dyDescent="0.25">
      <c r="A14" s="384"/>
      <c r="B14" s="71" t="s">
        <v>63</v>
      </c>
      <c r="C14" s="98">
        <f>'Evolució mensual_anys'!O14</f>
        <v>30</v>
      </c>
      <c r="D14" s="98">
        <f>'Evolució Anual'!O12</f>
        <v>58</v>
      </c>
      <c r="E14" s="98">
        <f>'Evolució mensual_anys'!O71</f>
        <v>147</v>
      </c>
      <c r="F14" s="98">
        <v>0</v>
      </c>
      <c r="G14" s="98">
        <v>0</v>
      </c>
      <c r="H14" s="217"/>
      <c r="I14" s="339">
        <f>(D14-E14)/E14</f>
        <v>-0.60544217687074831</v>
      </c>
      <c r="J14" s="217">
        <f>(E14-F14)/E14</f>
        <v>1</v>
      </c>
      <c r="K14" s="217">
        <f t="shared" si="3"/>
        <v>1</v>
      </c>
    </row>
    <row r="15" spans="1:11" x14ac:dyDescent="0.25">
      <c r="A15" s="384"/>
      <c r="B15" s="71" t="s">
        <v>75</v>
      </c>
      <c r="C15" s="98">
        <f>'Evolució mensual_anys'!O12</f>
        <v>733</v>
      </c>
      <c r="D15" s="98">
        <f>'Evolució Anual'!O13</f>
        <v>368</v>
      </c>
      <c r="E15" s="98"/>
      <c r="F15" s="98"/>
      <c r="G15" s="98">
        <v>0</v>
      </c>
      <c r="H15" s="217"/>
      <c r="I15" s="339"/>
      <c r="J15" s="217"/>
      <c r="K15" s="217"/>
    </row>
    <row r="16" spans="1:11" ht="15.75" thickBot="1" x14ac:dyDescent="0.3">
      <c r="A16" s="385"/>
      <c r="B16" s="72" t="s">
        <v>32</v>
      </c>
      <c r="C16" s="98"/>
      <c r="D16" s="98"/>
      <c r="E16" s="98">
        <f>'Evolució mensual_anys'!O72</f>
        <v>56</v>
      </c>
      <c r="F16" s="98">
        <f>'Evolució mensual_anys'!O97</f>
        <v>1442</v>
      </c>
      <c r="G16" s="98">
        <f>'Evolució mensual_anys'!O120</f>
        <v>883</v>
      </c>
      <c r="H16" s="341"/>
      <c r="I16" s="339"/>
      <c r="J16" s="217">
        <f>(E16-F16)/F16</f>
        <v>-0.96116504854368934</v>
      </c>
      <c r="K16" s="217">
        <f t="shared" si="3"/>
        <v>-14.767857142857142</v>
      </c>
    </row>
    <row r="17" spans="1:11" ht="15.75" thickBot="1" x14ac:dyDescent="0.3">
      <c r="A17" s="199"/>
      <c r="B17" s="200"/>
      <c r="C17" s="330">
        <f>SUM(C9:C16)</f>
        <v>13778</v>
      </c>
      <c r="D17" s="330">
        <f>SUM(D9:D16)</f>
        <v>14233</v>
      </c>
      <c r="E17" s="331">
        <f>SUM(E9:E16)</f>
        <v>9505</v>
      </c>
      <c r="F17" s="331">
        <f t="shared" ref="F17:G17" si="4">SUM(F9:F16)</f>
        <v>8124</v>
      </c>
      <c r="G17" s="332">
        <f t="shared" si="4"/>
        <v>15937</v>
      </c>
      <c r="H17" s="340"/>
      <c r="I17" s="218">
        <f>(D17-E17)/E17</f>
        <v>0.49742240925828513</v>
      </c>
      <c r="J17" s="218">
        <f>(E17-F17)/F17</f>
        <v>0.16999015263417036</v>
      </c>
      <c r="K17" s="218">
        <f>(E17-G17)/G17</f>
        <v>-0.40358913220806925</v>
      </c>
    </row>
    <row r="18" spans="1:11" ht="15.75" thickBot="1" x14ac:dyDescent="0.3"/>
    <row r="19" spans="1:11" ht="15.75" thickBot="1" x14ac:dyDescent="0.3">
      <c r="C19" s="214">
        <v>2023</v>
      </c>
      <c r="D19" s="214">
        <v>2022</v>
      </c>
      <c r="E19" s="214">
        <v>2021</v>
      </c>
      <c r="F19" s="212">
        <v>2020</v>
      </c>
      <c r="G19" s="213">
        <v>2019</v>
      </c>
      <c r="H19" s="308" t="s">
        <v>86</v>
      </c>
      <c r="I19" s="247" t="s">
        <v>71</v>
      </c>
      <c r="J19" s="222" t="s">
        <v>67</v>
      </c>
      <c r="K19" s="222" t="s">
        <v>68</v>
      </c>
    </row>
    <row r="20" spans="1:11" ht="15.75" thickBot="1" x14ac:dyDescent="0.3">
      <c r="A20" s="381"/>
      <c r="B20" s="382"/>
      <c r="C20" s="316"/>
      <c r="D20" s="256"/>
      <c r="E20" s="378"/>
      <c r="F20" s="379"/>
      <c r="G20" s="379"/>
      <c r="H20" s="379"/>
      <c r="I20" s="379"/>
      <c r="J20" s="379"/>
      <c r="K20" s="380"/>
    </row>
    <row r="21" spans="1:11" x14ac:dyDescent="0.25">
      <c r="A21" s="383" t="s">
        <v>31</v>
      </c>
      <c r="B21" s="73" t="s">
        <v>27</v>
      </c>
      <c r="C21" s="138">
        <f>'Evolució mensual_anys'!O18</f>
        <v>18316.900000000001</v>
      </c>
      <c r="D21" s="138">
        <f>'Evolució Anual'!O16</f>
        <v>17790.899999999998</v>
      </c>
      <c r="E21" s="138">
        <f>'Evolució mensual_anys'!O76</f>
        <v>14381.97</v>
      </c>
      <c r="F21" s="138">
        <f>'Evolució mensual_anys'!O100</f>
        <v>7793</v>
      </c>
      <c r="G21" s="31">
        <f>'Evolució mensual_anys'!O123</f>
        <v>9708</v>
      </c>
      <c r="H21" s="334"/>
      <c r="I21" s="216">
        <f>(D21-E21)/E21</f>
        <v>0.2370280288444489</v>
      </c>
      <c r="J21" s="216">
        <f>(E21-F21)/F21</f>
        <v>0.84549852431669437</v>
      </c>
      <c r="K21" s="216">
        <f>(E21-G21)/G21</f>
        <v>0.48145550061804693</v>
      </c>
    </row>
    <row r="22" spans="1:11" x14ac:dyDescent="0.25">
      <c r="A22" s="384"/>
      <c r="B22" s="71" t="s">
        <v>45</v>
      </c>
      <c r="C22" s="31">
        <f>'Evolució mensual_anys'!O19</f>
        <v>11169.4</v>
      </c>
      <c r="D22" s="31">
        <f>'Evolució Anual'!O17</f>
        <v>9107.6999999999989</v>
      </c>
      <c r="E22" s="31">
        <f>'Evolució mensual_anys'!O77</f>
        <v>5549.1799999999994</v>
      </c>
      <c r="F22" s="31">
        <f>'Evolució mensual_anys'!O101</f>
        <v>3166</v>
      </c>
      <c r="G22" s="31">
        <f>'Evolució mensual_anys'!O124</f>
        <v>6709</v>
      </c>
      <c r="H22" s="335"/>
      <c r="I22" s="217">
        <f t="shared" ref="I22:I29" si="5">(D22-E22)/E22</f>
        <v>0.64126952090218736</v>
      </c>
      <c r="J22" s="217">
        <f>(E22-F22)/F22</f>
        <v>0.75274162981680337</v>
      </c>
      <c r="K22" s="217">
        <f t="shared" ref="K22:K30" si="6">(E22-G22)/G22</f>
        <v>-0.17287524221195419</v>
      </c>
    </row>
    <row r="23" spans="1:11" x14ac:dyDescent="0.25">
      <c r="A23" s="384"/>
      <c r="B23" s="71" t="s">
        <v>28</v>
      </c>
      <c r="C23" s="31">
        <f>'Evolució mensual_anys'!O20</f>
        <v>5377.7300000000005</v>
      </c>
      <c r="D23" s="31">
        <f>'Evolució Anual'!O18</f>
        <v>4081.21</v>
      </c>
      <c r="E23" s="31">
        <f>'Evolució mensual_anys'!O78</f>
        <v>3990.2100000000005</v>
      </c>
      <c r="F23" s="31">
        <f>'Evolució mensual_anys'!O102</f>
        <v>2292.5</v>
      </c>
      <c r="G23" s="31">
        <f>'Evolució mensual_anys'!O125</f>
        <v>2798</v>
      </c>
      <c r="H23" s="335"/>
      <c r="I23" s="217">
        <f t="shared" si="5"/>
        <v>2.2805817237689128E-2</v>
      </c>
      <c r="J23" s="217">
        <f>(E23-F23)/F23</f>
        <v>0.74054961832061095</v>
      </c>
      <c r="K23" s="217">
        <f t="shared" si="6"/>
        <v>0.42609363831308095</v>
      </c>
    </row>
    <row r="24" spans="1:11" x14ac:dyDescent="0.25">
      <c r="A24" s="384"/>
      <c r="B24" s="71" t="s">
        <v>29</v>
      </c>
      <c r="C24" s="31">
        <f>'Evolució mensual_anys'!O21</f>
        <v>765</v>
      </c>
      <c r="D24" s="31">
        <f>'Evolució Anual'!O19</f>
        <v>212.5</v>
      </c>
      <c r="E24" s="31">
        <f>'Evolució mensual_anys'!O79</f>
        <v>245.5</v>
      </c>
      <c r="F24" s="31">
        <f>'Evolució mensual_anys'!O103</f>
        <v>235.5</v>
      </c>
      <c r="G24" s="31">
        <f>'Evolució mensual_anys'!O126</f>
        <v>423.5</v>
      </c>
      <c r="H24" s="335"/>
      <c r="I24" s="217">
        <f t="shared" si="5"/>
        <v>-0.13441955193482688</v>
      </c>
      <c r="J24" s="217">
        <f>(E24-F24)/F24</f>
        <v>4.2462845010615709E-2</v>
      </c>
      <c r="K24" s="217">
        <f t="shared" si="6"/>
        <v>-0.42030696576151122</v>
      </c>
    </row>
    <row r="25" spans="1:11" x14ac:dyDescent="0.25">
      <c r="A25" s="384"/>
      <c r="B25" s="71" t="s">
        <v>46</v>
      </c>
      <c r="C25" s="31">
        <f>'Evolució mensual_anys'!O22</f>
        <v>19409.5</v>
      </c>
      <c r="D25" s="31">
        <f>'Evolució Anual'!O20</f>
        <v>18121</v>
      </c>
      <c r="E25" s="31">
        <f>'Evolució mensual_anys'!O80</f>
        <v>7145.5499999999993</v>
      </c>
      <c r="F25" s="31">
        <f>'Evolució mensual_anys'!O104</f>
        <v>5763.5</v>
      </c>
      <c r="G25" s="31">
        <f>'Evolució mensual_anys'!O127</f>
        <v>18157.55</v>
      </c>
      <c r="H25" s="335"/>
      <c r="I25" s="217">
        <f t="shared" si="5"/>
        <v>1.5359839340568608</v>
      </c>
      <c r="J25" s="217">
        <f>(E25-F25)/F25</f>
        <v>0.23979352823804967</v>
      </c>
      <c r="K25" s="217">
        <f>(E25-G25)/E25</f>
        <v>-1.5410990056748608</v>
      </c>
    </row>
    <row r="26" spans="1:11" x14ac:dyDescent="0.25">
      <c r="A26" s="384"/>
      <c r="B26" s="71" t="s">
        <v>63</v>
      </c>
      <c r="C26" s="31">
        <f>'Evolució mensual_anys'!O23</f>
        <v>48.22</v>
      </c>
      <c r="D26" s="31">
        <f>'Evolució Anual'!O21</f>
        <v>283.94</v>
      </c>
      <c r="E26" s="31">
        <f>'Evolució mensual_anys'!O81</f>
        <v>687</v>
      </c>
      <c r="F26" s="230">
        <v>0</v>
      </c>
      <c r="G26" s="230">
        <v>0</v>
      </c>
      <c r="H26" s="336"/>
      <c r="I26" s="217">
        <f t="shared" si="5"/>
        <v>-0.58669577874818046</v>
      </c>
      <c r="J26" s="217">
        <v>1</v>
      </c>
      <c r="K26" s="217">
        <f>(E26-G26)/E26</f>
        <v>1</v>
      </c>
    </row>
    <row r="27" spans="1:11" x14ac:dyDescent="0.25">
      <c r="A27" s="384"/>
      <c r="B27" s="71" t="s">
        <v>75</v>
      </c>
      <c r="C27" s="31">
        <f>'Evolució mensual_anys'!O24</f>
        <v>4905.3599999999997</v>
      </c>
      <c r="D27" s="31">
        <f>'Evolució Anual'!O22</f>
        <v>2583</v>
      </c>
      <c r="E27" s="31"/>
      <c r="F27" s="230"/>
      <c r="G27" s="230"/>
      <c r="H27" s="336"/>
      <c r="I27" s="217"/>
      <c r="J27" s="217"/>
      <c r="K27" s="217"/>
    </row>
    <row r="28" spans="1:11" x14ac:dyDescent="0.25">
      <c r="A28" s="384"/>
      <c r="B28" s="71" t="s">
        <v>53</v>
      </c>
      <c r="C28" s="31">
        <f>'Evolució mensual_anys'!O25</f>
        <v>486.6</v>
      </c>
      <c r="D28" s="31">
        <f>'Evolució Anual'!O23</f>
        <v>656.6</v>
      </c>
      <c r="E28" s="31">
        <f>'Evolució mensual_anys'!O82</f>
        <v>556.6</v>
      </c>
      <c r="F28" s="31">
        <f>'Evolució mensual_anys'!O105</f>
        <v>271.60000000000002</v>
      </c>
      <c r="G28" s="31">
        <f>'Evolució mensual_anys'!O128</f>
        <v>801.7</v>
      </c>
      <c r="H28" s="335"/>
      <c r="I28" s="217">
        <f t="shared" si="5"/>
        <v>0.17966223499820336</v>
      </c>
      <c r="J28" s="217">
        <f>(E28-F28)/F28</f>
        <v>1.0493372606774667</v>
      </c>
      <c r="K28" s="217">
        <f>(E28-G28)/G28</f>
        <v>-0.30572533366595983</v>
      </c>
    </row>
    <row r="29" spans="1:11" ht="15.75" thickBot="1" x14ac:dyDescent="0.3">
      <c r="A29" s="385"/>
      <c r="B29" s="72" t="s">
        <v>50</v>
      </c>
      <c r="C29" s="31">
        <f>'Evolució mensual_anys'!O26</f>
        <v>551.64</v>
      </c>
      <c r="D29" s="31">
        <f>'Evolució Anual'!O24</f>
        <v>615.5</v>
      </c>
      <c r="E29" s="31">
        <f>'Evolució mensual_anys'!O83</f>
        <v>1231.58</v>
      </c>
      <c r="F29" s="94">
        <f>'Evolució mensual_anys'!O106</f>
        <v>646.95000000000005</v>
      </c>
      <c r="G29" s="94">
        <f>'Evolució mensual_anys'!O129</f>
        <v>2822.7499999999995</v>
      </c>
      <c r="H29" s="337"/>
      <c r="I29" s="217">
        <f t="shared" si="5"/>
        <v>-0.50023546988421375</v>
      </c>
      <c r="J29" s="217">
        <f>(E29-F29)/E29</f>
        <v>0.47469916692378888</v>
      </c>
      <c r="K29" s="217">
        <f>(E29-G29)/E29</f>
        <v>-1.2919745367739</v>
      </c>
    </row>
    <row r="30" spans="1:11" ht="15.75" thickBot="1" x14ac:dyDescent="0.3">
      <c r="A30" s="199"/>
      <c r="B30" s="200"/>
      <c r="C30" s="204">
        <f>SUM(C21:C29)</f>
        <v>61030.350000000006</v>
      </c>
      <c r="D30" s="204">
        <f>SUM(D21:D29)</f>
        <v>53452.35</v>
      </c>
      <c r="E30" s="204">
        <f t="shared" ref="E30" si="7">SUM(E21:E29)</f>
        <v>33787.589999999997</v>
      </c>
      <c r="F30" s="209">
        <f>SUM(F21:F29)</f>
        <v>20169.05</v>
      </c>
      <c r="G30" s="209">
        <f>SUM(G21:G29)</f>
        <v>41420.5</v>
      </c>
      <c r="H30" s="209"/>
      <c r="I30" s="218">
        <f>(D30-E30)/E30</f>
        <v>0.58201132427616187</v>
      </c>
      <c r="J30" s="218">
        <f>(E30-F30)/F30</f>
        <v>0.67521970543977028</v>
      </c>
      <c r="K30" s="218">
        <f t="shared" si="6"/>
        <v>-0.18427855771900395</v>
      </c>
    </row>
    <row r="32" spans="1:11" ht="15.75" thickBot="1" x14ac:dyDescent="0.3"/>
    <row r="33" spans="2:5" ht="15.75" thickBot="1" x14ac:dyDescent="0.3">
      <c r="B33" s="317" t="s">
        <v>84</v>
      </c>
      <c r="C33" s="214">
        <v>2023</v>
      </c>
      <c r="D33" s="214">
        <v>2022</v>
      </c>
      <c r="E33" s="214">
        <v>2021</v>
      </c>
    </row>
    <row r="34" spans="2:5" x14ac:dyDescent="0.25">
      <c r="B34" s="322" t="s">
        <v>27</v>
      </c>
      <c r="C34" s="328">
        <f>'Evolució Anual'!R37/Resum!C9</f>
        <v>6.8535825545171333E-2</v>
      </c>
      <c r="D34" s="328">
        <f>'Evolució Anual'!O37/Resum!D9</f>
        <v>7.7944179714091219E-2</v>
      </c>
      <c r="E34" s="323">
        <f>'Evolució Anual'!L37/Resum!E9</f>
        <v>0.12947052947052948</v>
      </c>
    </row>
    <row r="35" spans="2:5" x14ac:dyDescent="0.25">
      <c r="B35" s="324" t="s">
        <v>61</v>
      </c>
      <c r="C35" s="321">
        <f>'Evolució Anual'!R38/Resum!C10</f>
        <v>0.72077488309953242</v>
      </c>
      <c r="D35" s="321">
        <f>'Evolució Anual'!O38/Resum!D10</f>
        <v>0.73186682520808566</v>
      </c>
      <c r="E35" s="325">
        <f>'Evolució Anual'!L38/Resum!E10</f>
        <v>0.69306049822064053</v>
      </c>
    </row>
    <row r="36" spans="2:5" x14ac:dyDescent="0.25">
      <c r="B36" s="324" t="s">
        <v>62</v>
      </c>
      <c r="C36" s="321">
        <f>'Evolució Anual'!R39/Resum!C11</f>
        <v>0.18966737438075018</v>
      </c>
      <c r="D36" s="321">
        <f>'Evolució Anual'!O39/Resum!D11</f>
        <v>0.18407960199004975</v>
      </c>
      <c r="E36" s="325">
        <f>'Evolució Anual'!L39/Resum!E11</f>
        <v>0.29447035309793473</v>
      </c>
    </row>
    <row r="37" spans="2:5" x14ac:dyDescent="0.25">
      <c r="B37" s="239" t="s">
        <v>75</v>
      </c>
      <c r="C37" s="321">
        <f>'Evolució Anual'!R40/Resum!C15</f>
        <v>0.84311050477489768</v>
      </c>
      <c r="D37" s="321">
        <f>'Evolució Anual'!O40/Resum!D15</f>
        <v>0.73369565217391308</v>
      </c>
      <c r="E37" s="325"/>
    </row>
    <row r="38" spans="2:5" ht="15.75" thickBot="1" x14ac:dyDescent="0.3">
      <c r="B38" s="326" t="s">
        <v>63</v>
      </c>
      <c r="C38" s="329">
        <f>'Evolució Anual'!R41/Resum!C14</f>
        <v>0.93333333333333335</v>
      </c>
      <c r="D38" s="329">
        <f>'Evolució Anual'!O41/Resum!D14</f>
        <v>0.51724137931034486</v>
      </c>
      <c r="E38" s="327">
        <f>'Evolució Anual'!L41/Resum!E14</f>
        <v>0.99319727891156462</v>
      </c>
    </row>
    <row r="39" spans="2:5" ht="15.75" thickBot="1" x14ac:dyDescent="0.3">
      <c r="C39" s="130"/>
      <c r="D39" s="130"/>
      <c r="E39" s="130"/>
    </row>
    <row r="40" spans="2:5" ht="15.75" thickBot="1" x14ac:dyDescent="0.3">
      <c r="B40" s="317" t="s">
        <v>85</v>
      </c>
      <c r="C40" s="214">
        <v>2023</v>
      </c>
      <c r="D40" s="214">
        <v>2022</v>
      </c>
      <c r="E40" s="214">
        <v>2021</v>
      </c>
    </row>
    <row r="41" spans="2:5" x14ac:dyDescent="0.25">
      <c r="B41" s="322" t="s">
        <v>27</v>
      </c>
      <c r="C41" s="109">
        <f>'Evolució Anual'!R44/Resum!C21</f>
        <v>6.8380020636679778E-2</v>
      </c>
      <c r="D41" s="109">
        <f>'Evolució Anual'!O44/Resum!D21</f>
        <v>6.0584343681320242E-2</v>
      </c>
      <c r="E41" s="323">
        <f>'Evolució Anual'!L44/Resum!E21</f>
        <v>0.10407266876512745</v>
      </c>
    </row>
    <row r="42" spans="2:5" x14ac:dyDescent="0.25">
      <c r="B42" s="324" t="s">
        <v>61</v>
      </c>
      <c r="C42" s="103">
        <f>'Evolució Anual'!R45/Resum!C22</f>
        <v>0.55758859025551955</v>
      </c>
      <c r="D42" s="103">
        <f>'Evolució Anual'!L45/Resum!D22</f>
        <v>0.40505506329808849</v>
      </c>
      <c r="E42" s="325">
        <f>'Evolució Anual'!L45/Resum!E22</f>
        <v>0.66480452967825887</v>
      </c>
    </row>
    <row r="43" spans="2:5" x14ac:dyDescent="0.25">
      <c r="B43" s="324" t="s">
        <v>62</v>
      </c>
      <c r="C43" s="103">
        <f>'Evolució Anual'!R46/Resum!C23</f>
        <v>0.1916459175153829</v>
      </c>
      <c r="D43" s="103">
        <f>'Evolució Anual'!L46/Resum!D23</f>
        <v>0.2815170010854624</v>
      </c>
      <c r="E43" s="325">
        <f>'Evolució Anual'!L46/Resum!E23</f>
        <v>0.2879372263615198</v>
      </c>
    </row>
    <row r="44" spans="2:5" x14ac:dyDescent="0.25">
      <c r="B44" s="239" t="s">
        <v>75</v>
      </c>
      <c r="C44" s="103">
        <f>'Evolució Anual'!R47/Resum!C27</f>
        <v>0.93148311235057157</v>
      </c>
      <c r="D44" s="103">
        <f>'Evolució Anual'!O47/Resum!D27</f>
        <v>0.78039488966318238</v>
      </c>
      <c r="E44" s="325"/>
    </row>
    <row r="45" spans="2:5" ht="15.75" thickBot="1" x14ac:dyDescent="0.3">
      <c r="B45" s="326" t="s">
        <v>63</v>
      </c>
      <c r="C45" s="107">
        <f>'Evolució Anual'!R48/Resum!C26</f>
        <v>0.70966403981750315</v>
      </c>
      <c r="D45" s="107">
        <f>'Evolució Anual'!O48/Resum!D26</f>
        <v>0.48580686060435302</v>
      </c>
      <c r="E45" s="327">
        <f>'Evolució Anual'!L48/Resum!E26</f>
        <v>0.93096069868995623</v>
      </c>
    </row>
  </sheetData>
  <mergeCells count="9">
    <mergeCell ref="E2:K2"/>
    <mergeCell ref="A20:B20"/>
    <mergeCell ref="A21:A29"/>
    <mergeCell ref="A2:B2"/>
    <mergeCell ref="A3:A4"/>
    <mergeCell ref="A8:B8"/>
    <mergeCell ref="A9:A16"/>
    <mergeCell ref="E8:K8"/>
    <mergeCell ref="E20:K20"/>
  </mergeCells>
  <pageMargins left="0.70866141732283472" right="0.70866141732283472" top="0.74803149606299213" bottom="0.74803149606299213" header="0.31496062992125984" footer="0.31496062992125984"/>
  <pageSetup paperSize="9" scale="67" orientation="landscape" r:id="rId1"/>
  <headerFooter>
    <oddHeader>&amp;CEvolució estadístiques Turisme Hostalric</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1"/>
  <sheetViews>
    <sheetView workbookViewId="0">
      <pane xSplit="2" ySplit="2" topLeftCell="G21" activePane="bottomRight" state="frozenSplit"/>
      <selection pane="topRight" activeCell="C1" sqref="C1"/>
      <selection pane="bottomLeft" activeCell="A3" sqref="A3"/>
      <selection pane="bottomRight" activeCell="R46" sqref="R46"/>
    </sheetView>
  </sheetViews>
  <sheetFormatPr defaultColWidth="11.42578125" defaultRowHeight="15" x14ac:dyDescent="0.25"/>
  <cols>
    <col min="1" max="1" width="32" bestFit="1" customWidth="1"/>
    <col min="2" max="2" width="20.7109375" bestFit="1" customWidth="1"/>
    <col min="3" max="3" width="12" bestFit="1" customWidth="1"/>
    <col min="4" max="4" width="9.28515625" bestFit="1" customWidth="1"/>
    <col min="5" max="5" width="7" bestFit="1" customWidth="1"/>
    <col min="6" max="6" width="12" bestFit="1" customWidth="1"/>
    <col min="7" max="7" width="9.28515625" bestFit="1" customWidth="1"/>
    <col min="8" max="8" width="7" bestFit="1" customWidth="1"/>
    <col min="9" max="9" width="12" bestFit="1" customWidth="1"/>
    <col min="10" max="10" width="9.28515625" bestFit="1" customWidth="1"/>
    <col min="11" max="11" width="7" bestFit="1" customWidth="1"/>
    <col min="12" max="12" width="12" bestFit="1" customWidth="1"/>
    <col min="13" max="13" width="9.28515625" bestFit="1" customWidth="1"/>
    <col min="14" max="14" width="7" bestFit="1" customWidth="1"/>
    <col min="15" max="15" width="12" bestFit="1" customWidth="1"/>
    <col min="16" max="16" width="9.28515625" bestFit="1" customWidth="1"/>
    <col min="17" max="17" width="7" bestFit="1" customWidth="1"/>
    <col min="18" max="18" width="12" bestFit="1" customWidth="1"/>
    <col min="19" max="19" width="9.28515625" bestFit="1" customWidth="1"/>
  </cols>
  <sheetData>
    <row r="1" spans="1:19" x14ac:dyDescent="0.25">
      <c r="A1" s="398"/>
      <c r="B1" s="399"/>
      <c r="C1" s="389">
        <v>2018</v>
      </c>
      <c r="D1" s="391"/>
      <c r="E1" s="389">
        <v>2019</v>
      </c>
      <c r="F1" s="390"/>
      <c r="G1" s="391"/>
      <c r="H1" s="389">
        <v>2020</v>
      </c>
      <c r="I1" s="390"/>
      <c r="J1" s="391"/>
      <c r="K1" s="389">
        <v>2021</v>
      </c>
      <c r="L1" s="390"/>
      <c r="M1" s="391"/>
      <c r="N1" s="389">
        <v>2022</v>
      </c>
      <c r="O1" s="390"/>
      <c r="P1" s="391"/>
      <c r="Q1" s="389">
        <v>2023</v>
      </c>
      <c r="R1" s="390"/>
      <c r="S1" s="391"/>
    </row>
    <row r="2" spans="1:19" ht="15.75" thickBot="1" x14ac:dyDescent="0.3">
      <c r="A2" s="400"/>
      <c r="B2" s="401"/>
      <c r="C2" s="123" t="s">
        <v>56</v>
      </c>
      <c r="D2" s="124" t="s">
        <v>57</v>
      </c>
      <c r="E2" s="123" t="s">
        <v>59</v>
      </c>
      <c r="F2" s="30" t="s">
        <v>56</v>
      </c>
      <c r="G2" s="124" t="s">
        <v>57</v>
      </c>
      <c r="H2" s="123" t="s">
        <v>59</v>
      </c>
      <c r="I2" s="30" t="s">
        <v>56</v>
      </c>
      <c r="J2" s="124" t="s">
        <v>57</v>
      </c>
      <c r="K2" s="123" t="s">
        <v>59</v>
      </c>
      <c r="L2" s="30" t="s">
        <v>56</v>
      </c>
      <c r="M2" s="124" t="s">
        <v>57</v>
      </c>
      <c r="N2" s="123" t="s">
        <v>59</v>
      </c>
      <c r="O2" s="244" t="s">
        <v>56</v>
      </c>
      <c r="P2" s="124" t="s">
        <v>57</v>
      </c>
      <c r="Q2" s="123" t="s">
        <v>59</v>
      </c>
      <c r="R2" s="244" t="s">
        <v>56</v>
      </c>
      <c r="S2" s="124" t="s">
        <v>57</v>
      </c>
    </row>
    <row r="3" spans="1:19" x14ac:dyDescent="0.25">
      <c r="A3" s="402" t="s">
        <v>48</v>
      </c>
      <c r="B3" s="74" t="s">
        <v>47</v>
      </c>
      <c r="C3" s="128">
        <f>'Evolució mensual_anys'!O134</f>
        <v>79</v>
      </c>
      <c r="D3" s="111">
        <f>'Evolució mensual_anys'!P134</f>
        <v>1.9235451667884099E-2</v>
      </c>
      <c r="E3" s="135">
        <f>(F3-C3)/C3</f>
        <v>5.6202531645569618</v>
      </c>
      <c r="F3" s="110">
        <f>'Evolució mensual_anys'!O111</f>
        <v>523</v>
      </c>
      <c r="G3" s="111">
        <f>'Evolució mensual_anys'!P111</f>
        <v>8.461414010677884E-2</v>
      </c>
      <c r="H3" s="135">
        <f>(I3-F3)/F3</f>
        <v>-5.5449330783938815E-2</v>
      </c>
      <c r="I3" s="110">
        <f>'Evolució mensual_anys'!O88</f>
        <v>494</v>
      </c>
      <c r="J3" s="111">
        <f>'Evolució mensual_anys'!P88</f>
        <v>0.14406532516768739</v>
      </c>
      <c r="K3" s="135">
        <f>(L3-I3)/I3</f>
        <v>-0.67813765182186236</v>
      </c>
      <c r="L3" s="183">
        <f>'Evolució mensual_anys'!O61</f>
        <v>159</v>
      </c>
      <c r="M3" s="187">
        <f>'Evolució mensual_anys'!P61</f>
        <v>3.491436100131752E-2</v>
      </c>
      <c r="N3" s="135">
        <f>(O3-L3)/L3</f>
        <v>-0.45283018867924529</v>
      </c>
      <c r="O3" s="251">
        <f>'Evolució mensual_anys'!O33</f>
        <v>87</v>
      </c>
      <c r="P3" s="187">
        <f>'Evolució mensual_anys'!P33</f>
        <v>1.922227132125497E-2</v>
      </c>
      <c r="Q3" s="135">
        <f>(R3-O3)/O3</f>
        <v>-8.0459770114942528E-2</v>
      </c>
      <c r="R3" s="312">
        <f>'Evolució mensual_anys'!O3</f>
        <v>80</v>
      </c>
      <c r="S3" s="187">
        <f>'Evolució mensual_anys'!P3</f>
        <v>1.7793594306049824E-2</v>
      </c>
    </row>
    <row r="4" spans="1:19" ht="15.75" thickBot="1" x14ac:dyDescent="0.3">
      <c r="A4" s="397"/>
      <c r="B4" s="76" t="s">
        <v>55</v>
      </c>
      <c r="C4" s="129">
        <f>'Evolució mensual_anys'!O135</f>
        <v>4028</v>
      </c>
      <c r="D4" s="108">
        <f>'Evolució mensual_anys'!P135</f>
        <v>0.9807645483321159</v>
      </c>
      <c r="E4" s="136">
        <f>(F4-C4)/C4</f>
        <v>0.40466732869910627</v>
      </c>
      <c r="F4" s="112">
        <f>'Evolució mensual_anys'!O112</f>
        <v>5658</v>
      </c>
      <c r="G4" s="108">
        <f>'Evolució mensual_anys'!P112</f>
        <v>0.91538585989322119</v>
      </c>
      <c r="H4" s="136">
        <f>(I4-F4)/F4</f>
        <v>-0.48126546482856131</v>
      </c>
      <c r="I4" s="112">
        <f>'Evolució mensual_anys'!O89</f>
        <v>2935</v>
      </c>
      <c r="J4" s="108">
        <f>'Evolució mensual_anys'!P89</f>
        <v>0.85593467483231267</v>
      </c>
      <c r="K4" s="136">
        <f>(L4-I4)/I4</f>
        <v>0.49744463373083475</v>
      </c>
      <c r="L4" s="77">
        <f>'Evolució mensual_anys'!O62</f>
        <v>4395</v>
      </c>
      <c r="M4" s="188">
        <f>'Evolució mensual_anys'!P62</f>
        <v>0.96508563899868249</v>
      </c>
      <c r="N4" s="136">
        <f>(O4-L4)/L4</f>
        <v>1.0011376564277589E-2</v>
      </c>
      <c r="O4" s="77">
        <f>'Evolució mensual_anys'!O34</f>
        <v>4439</v>
      </c>
      <c r="P4" s="188">
        <f>'Evolució mensual_anys'!P34</f>
        <v>0.98077772867874502</v>
      </c>
      <c r="Q4" s="136">
        <f>(R4-O4)/O4</f>
        <v>-5.1813471502590676E-3</v>
      </c>
      <c r="R4" s="77">
        <f>'Evolució mensual_anys'!O4</f>
        <v>4416</v>
      </c>
      <c r="S4" s="188">
        <f>'Evolució mensual_anys'!P4</f>
        <v>0.98220640569395012</v>
      </c>
    </row>
    <row r="5" spans="1:19" x14ac:dyDescent="0.25">
      <c r="A5" s="190"/>
      <c r="B5" s="196"/>
      <c r="C5" s="102">
        <f>SUM(C3:C4)</f>
        <v>4107</v>
      </c>
      <c r="D5" s="103"/>
      <c r="E5" s="103"/>
      <c r="F5" s="102">
        <f>SUM(F3:F4)</f>
        <v>6181</v>
      </c>
      <c r="G5" s="103"/>
      <c r="H5" s="103"/>
      <c r="I5" s="102">
        <f>SUM(I3:I4)</f>
        <v>3429</v>
      </c>
      <c r="J5" s="103"/>
      <c r="K5" s="103"/>
      <c r="L5" s="102">
        <f>SUM(L3:L4)</f>
        <v>4554</v>
      </c>
      <c r="M5" s="197"/>
      <c r="N5" s="103"/>
      <c r="O5" s="102">
        <f>SUM(O3:O4)</f>
        <v>4526</v>
      </c>
      <c r="P5" s="197"/>
      <c r="Q5" s="103"/>
      <c r="R5" s="102">
        <f>SUM(R3:R4)</f>
        <v>4496</v>
      </c>
      <c r="S5" s="197"/>
    </row>
    <row r="6" spans="1:19" ht="15.75" thickBot="1" x14ac:dyDescent="0.3">
      <c r="A6" s="392"/>
      <c r="B6" s="393"/>
      <c r="C6" s="393"/>
      <c r="D6" s="393"/>
      <c r="E6" s="393"/>
      <c r="F6" s="393"/>
      <c r="G6" s="393"/>
      <c r="H6" s="393"/>
      <c r="I6" s="393"/>
      <c r="J6" s="393"/>
      <c r="K6" s="393"/>
      <c r="L6" s="393"/>
      <c r="M6" s="393"/>
      <c r="N6" s="393"/>
      <c r="O6" s="393"/>
      <c r="P6" s="393"/>
    </row>
    <row r="7" spans="1:19" x14ac:dyDescent="0.25">
      <c r="A7" s="383" t="s">
        <v>30</v>
      </c>
      <c r="B7" s="125" t="s">
        <v>27</v>
      </c>
      <c r="C7" s="128">
        <f>'Evolució mensual_anys'!O138</f>
        <v>1736</v>
      </c>
      <c r="D7" s="111">
        <f>'Evolució mensual_anys'!P138</f>
        <v>0.1467455621301775</v>
      </c>
      <c r="E7" s="135">
        <f>(F7-C7)/C7</f>
        <v>1.5702764976958525</v>
      </c>
      <c r="F7" s="110">
        <f>'Evolució mensual_anys'!O115</f>
        <v>4462</v>
      </c>
      <c r="G7" s="111">
        <f>'Evolució mensual_anys'!P115</f>
        <v>0.27997741105603313</v>
      </c>
      <c r="H7" s="135">
        <f t="shared" ref="H7:H13" si="0">(I7-F7)/F7</f>
        <v>-0.28283281039892427</v>
      </c>
      <c r="I7" s="110">
        <f>'Evolució mensual_anys'!O92</f>
        <v>3200</v>
      </c>
      <c r="J7" s="111">
        <f>'Evolució mensual_anys'!P92</f>
        <v>0.39389463318562284</v>
      </c>
      <c r="K7" s="135">
        <f t="shared" ref="K7:K13" si="1">(L7-I7)/I7</f>
        <v>0.56406250000000002</v>
      </c>
      <c r="L7" s="183">
        <f>'Evolució mensual_anys'!O66</f>
        <v>5005</v>
      </c>
      <c r="M7" s="187">
        <f>'Evolució mensual_anys'!P66</f>
        <v>0.5265649658074697</v>
      </c>
      <c r="N7" s="135">
        <f t="shared" ref="N7:N10" si="2">(O7-L7)/L7</f>
        <v>0.17402597402597403</v>
      </c>
      <c r="O7" s="251">
        <f>'Evolució mensual_anys'!O38</f>
        <v>5876</v>
      </c>
      <c r="P7" s="187">
        <f>'Evolució mensual_anys'!P38</f>
        <v>0.4128433921169114</v>
      </c>
      <c r="Q7" s="135"/>
      <c r="R7" s="312">
        <f>'Evolució mensual_anys'!O8</f>
        <v>4494</v>
      </c>
      <c r="S7" s="187">
        <f>'Evolució mensual_anys'!P8</f>
        <v>0.3157450994168482</v>
      </c>
    </row>
    <row r="8" spans="1:19" x14ac:dyDescent="0.25">
      <c r="A8" s="384"/>
      <c r="B8" s="126" t="s">
        <v>45</v>
      </c>
      <c r="C8" s="131">
        <f>'Evolució mensual_anys'!O139</f>
        <v>2840</v>
      </c>
      <c r="D8" s="104">
        <f>'Evolució mensual_anys'!P139</f>
        <v>0.2400676246830093</v>
      </c>
      <c r="E8" s="137">
        <f t="shared" ref="E8:E24" si="3">(F8-C8)/C8</f>
        <v>4.7535211267605633E-2</v>
      </c>
      <c r="F8" s="102">
        <f>'Evolució mensual_anys'!O116</f>
        <v>2975</v>
      </c>
      <c r="G8" s="104">
        <f>'Evolució mensual_anys'!P116</f>
        <v>0.18667252305954696</v>
      </c>
      <c r="H8" s="137">
        <f t="shared" si="0"/>
        <v>-0.72941176470588232</v>
      </c>
      <c r="I8" s="102">
        <f>'Evolució mensual_anys'!O93</f>
        <v>805</v>
      </c>
      <c r="J8" s="104">
        <f>'Evolució mensual_anys'!P93</f>
        <v>9.9089118660758244E-2</v>
      </c>
      <c r="K8" s="137">
        <f t="shared" si="1"/>
        <v>0.39627329192546584</v>
      </c>
      <c r="L8" s="184">
        <f>'Evolució mensual_anys'!O67</f>
        <v>1124</v>
      </c>
      <c r="M8" s="189">
        <f>'Evolució mensual_anys'!P67</f>
        <v>0.11825355076275644</v>
      </c>
      <c r="N8" s="137">
        <f t="shared" si="2"/>
        <v>0.49644128113879005</v>
      </c>
      <c r="O8" s="299">
        <f>'Evolució mensual_anys'!O39</f>
        <v>1682</v>
      </c>
      <c r="P8" s="189">
        <f>'Evolució mensual_anys'!P39</f>
        <v>0.1181760696971826</v>
      </c>
      <c r="Q8" s="137"/>
      <c r="R8" s="314">
        <f>'Evolució mensual_anys'!O9</f>
        <v>1497</v>
      </c>
      <c r="S8" s="189">
        <f>'Evolució mensual_anys'!P9</f>
        <v>0.10517810721562566</v>
      </c>
    </row>
    <row r="9" spans="1:19" x14ac:dyDescent="0.25">
      <c r="A9" s="384"/>
      <c r="B9" s="126" t="s">
        <v>28</v>
      </c>
      <c r="C9" s="131">
        <f>'Evolució mensual_anys'!O140</f>
        <v>822</v>
      </c>
      <c r="D9" s="104">
        <f>'Evolució mensual_anys'!P140</f>
        <v>6.9484361792054097E-2</v>
      </c>
      <c r="E9" s="137">
        <f t="shared" si="3"/>
        <v>0.29197080291970801</v>
      </c>
      <c r="F9" s="102">
        <f>'Evolució mensual_anys'!O117</f>
        <v>1062</v>
      </c>
      <c r="G9" s="104">
        <f>'Evolució mensual_anys'!P117</f>
        <v>6.6637384702265171E-2</v>
      </c>
      <c r="H9" s="137">
        <f t="shared" si="0"/>
        <v>-0.18455743879472694</v>
      </c>
      <c r="I9" s="102">
        <f>'Evolució mensual_anys'!O94</f>
        <v>866</v>
      </c>
      <c r="J9" s="104">
        <f>'Evolució mensual_anys'!P94</f>
        <v>0.10659773510585918</v>
      </c>
      <c r="K9" s="137">
        <f t="shared" si="1"/>
        <v>0.73325635103926101</v>
      </c>
      <c r="L9" s="184">
        <f>'Evolució mensual_anys'!O68</f>
        <v>1501</v>
      </c>
      <c r="M9" s="189">
        <f>'Evolució mensual_anys'!P68</f>
        <v>0.15791688584955288</v>
      </c>
      <c r="N9" s="137">
        <f t="shared" si="2"/>
        <v>7.1285809460359756E-2</v>
      </c>
      <c r="O9" s="299">
        <f>'Evolució mensual_anys'!O40</f>
        <v>1608</v>
      </c>
      <c r="P9" s="189">
        <f>'Evolució mensual_anys'!P40</f>
        <v>0.11297688470455983</v>
      </c>
      <c r="Q9" s="137">
        <f t="shared" ref="Q9:Q10" si="4">(R9-O9)/O9</f>
        <v>-0.12126865671641791</v>
      </c>
      <c r="R9" s="314">
        <f>'Evolució mensual_anys'!O10</f>
        <v>1413</v>
      </c>
      <c r="S9" s="189">
        <f>'Evolució mensual_anys'!P10</f>
        <v>9.9276329656432238E-2</v>
      </c>
    </row>
    <row r="10" spans="1:19" x14ac:dyDescent="0.25">
      <c r="A10" s="384"/>
      <c r="B10" s="126" t="s">
        <v>29</v>
      </c>
      <c r="C10" s="131">
        <f>'Evolució mensual_anys'!O141</f>
        <v>325</v>
      </c>
      <c r="D10" s="104">
        <f>'Evolució mensual_anys'!P141</f>
        <v>2.7472527472527472E-2</v>
      </c>
      <c r="E10" s="137">
        <f t="shared" si="3"/>
        <v>-0.21230769230769231</v>
      </c>
      <c r="F10" s="102">
        <f>'Evolució mensual_anys'!O118</f>
        <v>256</v>
      </c>
      <c r="G10" s="104">
        <f>'Evolució mensual_anys'!P118</f>
        <v>1.6063249043107235E-2</v>
      </c>
      <c r="H10" s="137">
        <f t="shared" si="0"/>
        <v>-0.46875</v>
      </c>
      <c r="I10" s="102">
        <f>'Evolució mensual_anys'!O95</f>
        <v>136</v>
      </c>
      <c r="J10" s="104">
        <f>'Evolució mensual_anys'!P95</f>
        <v>1.674052191038897E-2</v>
      </c>
      <c r="K10" s="137">
        <f t="shared" si="1"/>
        <v>0.56617647058823528</v>
      </c>
      <c r="L10" s="184">
        <f>'Evolució mensual_anys'!O69</f>
        <v>213</v>
      </c>
      <c r="M10" s="189">
        <f>'Evolució mensual_anys'!P69</f>
        <v>2.2409258285113098E-2</v>
      </c>
      <c r="N10" s="137">
        <f t="shared" si="2"/>
        <v>-0.41314553990610331</v>
      </c>
      <c r="O10" s="299">
        <f>'Evolució mensual_anys'!O41</f>
        <v>125</v>
      </c>
      <c r="P10" s="189">
        <f>'Evolució mensual_anys'!P41</f>
        <v>8.7824070821330702E-3</v>
      </c>
      <c r="Q10" s="137">
        <f t="shared" si="4"/>
        <v>1.792</v>
      </c>
      <c r="R10" s="314">
        <f>'Evolució mensual_anys'!O11</f>
        <v>349</v>
      </c>
      <c r="S10" s="189">
        <f>'Evolució mensual_anys'!P11</f>
        <v>2.4520480573315535E-2</v>
      </c>
    </row>
    <row r="11" spans="1:19" x14ac:dyDescent="0.25">
      <c r="A11" s="384"/>
      <c r="B11" s="126" t="s">
        <v>46</v>
      </c>
      <c r="C11" s="131">
        <f>'Evolució mensual_anys'!O142</f>
        <v>6107</v>
      </c>
      <c r="D11" s="104">
        <f>'Evolució mensual_anys'!P142</f>
        <v>0.51622992392223166</v>
      </c>
      <c r="E11" s="137">
        <f t="shared" si="3"/>
        <v>3.1439331914196823E-2</v>
      </c>
      <c r="F11" s="102">
        <f>'Evolució mensual_anys'!O119</f>
        <v>6299</v>
      </c>
      <c r="G11" s="104">
        <f>'Evolució mensual_anys'!P119</f>
        <v>0.39524377235364244</v>
      </c>
      <c r="H11" s="137">
        <f t="shared" si="0"/>
        <v>-0.73408477536116845</v>
      </c>
      <c r="I11" s="102">
        <f>'Evolució mensual_anys'!O96</f>
        <v>1675</v>
      </c>
      <c r="J11" s="104">
        <f>'Evolució mensual_anys'!P96</f>
        <v>0.20617922205809947</v>
      </c>
      <c r="K11" s="137">
        <f t="shared" si="1"/>
        <v>-0.12895522388059702</v>
      </c>
      <c r="L11" s="184">
        <f>'Evolució mensual_anys'!O70</f>
        <v>1459</v>
      </c>
      <c r="M11" s="189">
        <f>'Evolució mensual_anys'!P70</f>
        <v>0.15349815886375592</v>
      </c>
      <c r="N11" s="137">
        <f>(O11-L11)/L11</f>
        <v>2.0952707333790266</v>
      </c>
      <c r="O11" s="299">
        <f>'Evolució mensual_anys'!O43</f>
        <v>4516</v>
      </c>
      <c r="P11" s="189">
        <f>'Evolució mensual_anys'!P43</f>
        <v>0.31729080306330359</v>
      </c>
      <c r="Q11" s="137">
        <f>(R11-O11)/O11</f>
        <v>0.16519043401240036</v>
      </c>
      <c r="R11" s="314">
        <f>'Evolució mensual_anys'!O13</f>
        <v>5262</v>
      </c>
      <c r="S11" s="189">
        <f>'Evolució mensual_anys'!P13</f>
        <v>0.36970420852947378</v>
      </c>
    </row>
    <row r="12" spans="1:19" x14ac:dyDescent="0.25">
      <c r="A12" s="384"/>
      <c r="B12" s="71" t="s">
        <v>63</v>
      </c>
      <c r="C12" s="131"/>
      <c r="D12" s="104"/>
      <c r="E12" s="137"/>
      <c r="F12" s="102"/>
      <c r="G12" s="104"/>
      <c r="H12" s="137"/>
      <c r="I12" s="102"/>
      <c r="J12" s="104"/>
      <c r="K12" s="137"/>
      <c r="L12" s="184">
        <f>'Evolució mensual_anys'!O71</f>
        <v>147</v>
      </c>
      <c r="M12" s="189">
        <f>'Evolució mensual_anys'!P71</f>
        <v>1.5465544450289321E-2</v>
      </c>
      <c r="N12" s="137"/>
      <c r="O12" s="299">
        <f>'Evolució mensual_anys'!O44</f>
        <v>58</v>
      </c>
      <c r="P12" s="189">
        <f>'Evolució mensual_anys'!P44</f>
        <v>4.0750368861097452E-3</v>
      </c>
      <c r="Q12" s="137"/>
      <c r="R12" s="314">
        <f>'Evolució mensual_anys'!O14</f>
        <v>30</v>
      </c>
      <c r="S12" s="189">
        <f>'Evolució mensual_anys'!P14</f>
        <v>2.1077776997119372E-3</v>
      </c>
    </row>
    <row r="13" spans="1:19" ht="15.75" thickBot="1" x14ac:dyDescent="0.3">
      <c r="A13" s="385"/>
      <c r="B13" s="127" t="s">
        <v>75</v>
      </c>
      <c r="C13" s="129">
        <f>'Evolució mensual_anys'!O143</f>
        <v>0</v>
      </c>
      <c r="D13" s="108">
        <f>'Evolució mensual_anys'!P143</f>
        <v>0</v>
      </c>
      <c r="E13" s="136"/>
      <c r="F13" s="112">
        <f>'Evolució mensual_anys'!O120</f>
        <v>883</v>
      </c>
      <c r="G13" s="108">
        <f>'Evolució mensual_anys'!P120</f>
        <v>5.5405659785405036E-2</v>
      </c>
      <c r="H13" s="136">
        <f t="shared" si="0"/>
        <v>0.63306908267270667</v>
      </c>
      <c r="I13" s="112">
        <f>'Evolució mensual_anys'!O97</f>
        <v>1442</v>
      </c>
      <c r="J13" s="108">
        <f>'Evolució mensual_anys'!P97</f>
        <v>0.17749876907927128</v>
      </c>
      <c r="K13" s="136">
        <f t="shared" si="1"/>
        <v>-0.96116504854368934</v>
      </c>
      <c r="L13" s="77">
        <f>'Evolució mensual_anys'!O72</f>
        <v>56</v>
      </c>
      <c r="M13" s="188">
        <f>'Evolució mensual_anys'!P72</f>
        <v>5.8916359810625984E-3</v>
      </c>
      <c r="N13" s="136">
        <f>(O13-L13)/L13</f>
        <v>5.5714285714285712</v>
      </c>
      <c r="O13" s="77">
        <f>'Evolució mensual_anys'!O42</f>
        <v>368</v>
      </c>
      <c r="P13" s="188">
        <f>'Evolució mensual_anys'!P42</f>
        <v>2.5855406449799761E-2</v>
      </c>
      <c r="Q13" s="136">
        <f>(R13-O13)/O13</f>
        <v>0.99184782608695654</v>
      </c>
      <c r="R13" s="77">
        <f>'Evolució mensual_anys'!O12</f>
        <v>733</v>
      </c>
      <c r="S13" s="188">
        <f>'Evolució mensual_anys'!P12</f>
        <v>5.1500035129628328E-2</v>
      </c>
    </row>
    <row r="14" spans="1:19" x14ac:dyDescent="0.25">
      <c r="A14" s="190"/>
      <c r="B14" s="200"/>
      <c r="C14" s="102">
        <f>SUM(C7:C13)</f>
        <v>11830</v>
      </c>
      <c r="D14" s="103"/>
      <c r="E14" s="103"/>
      <c r="F14" s="102">
        <f>SUM(F7:F13)</f>
        <v>15937</v>
      </c>
      <c r="G14" s="103"/>
      <c r="H14" s="103"/>
      <c r="I14" s="102">
        <f>SUM(I7:I13)</f>
        <v>8124</v>
      </c>
      <c r="J14" s="103"/>
      <c r="K14" s="103"/>
      <c r="L14" s="102">
        <f>SUM(L7:L13)</f>
        <v>9505</v>
      </c>
      <c r="M14" s="197"/>
      <c r="N14" s="103"/>
      <c r="O14" s="102">
        <f>SUM(O7:O13)</f>
        <v>14233</v>
      </c>
      <c r="P14" s="300"/>
      <c r="Q14" s="103"/>
      <c r="R14" s="102">
        <f>SUM(R7:R13)</f>
        <v>13778</v>
      </c>
      <c r="S14" s="300"/>
    </row>
    <row r="15" spans="1:19" ht="15.75" thickBot="1" x14ac:dyDescent="0.3">
      <c r="A15" s="392"/>
      <c r="B15" s="393"/>
      <c r="C15" s="393"/>
      <c r="D15" s="393"/>
      <c r="E15" s="393"/>
      <c r="F15" s="393"/>
      <c r="G15" s="393"/>
      <c r="H15" s="393"/>
      <c r="I15" s="393"/>
      <c r="J15" s="393"/>
      <c r="K15" s="393"/>
      <c r="L15" s="393"/>
      <c r="M15" s="393"/>
      <c r="N15" s="393"/>
      <c r="O15" s="393"/>
      <c r="P15" s="393"/>
    </row>
    <row r="16" spans="1:19" x14ac:dyDescent="0.25">
      <c r="A16" s="383" t="s">
        <v>31</v>
      </c>
      <c r="B16" s="125" t="s">
        <v>27</v>
      </c>
      <c r="C16" s="132">
        <f>'Evolució mensual_anys'!O146</f>
        <v>3831</v>
      </c>
      <c r="D16" s="111">
        <f>'Evolució mensual_anys'!P146</f>
        <v>0.12540734472616449</v>
      </c>
      <c r="E16" s="135">
        <f t="shared" si="3"/>
        <v>1.534064212999217</v>
      </c>
      <c r="F16" s="138">
        <f>'Evolució mensual_anys'!O123</f>
        <v>9708</v>
      </c>
      <c r="G16" s="111">
        <f>'Evolució mensual_anys'!P123</f>
        <v>0.23900262932435226</v>
      </c>
      <c r="H16" s="135">
        <f>(I16-F16)/F16</f>
        <v>-0.19725999175937373</v>
      </c>
      <c r="I16" s="138">
        <f>'Evolució mensual_anys'!O100</f>
        <v>7793</v>
      </c>
      <c r="J16" s="109">
        <f>'Evolució mensual_anys'!P100</f>
        <v>0.38638408849202122</v>
      </c>
      <c r="K16" s="135">
        <f>(L16-I16)/I16</f>
        <v>0.84549852431669437</v>
      </c>
      <c r="L16" s="138">
        <f>'Evolució mensual_anys'!O76</f>
        <v>14381.97</v>
      </c>
      <c r="M16" s="187">
        <f>'Evolució mensual_anys'!P76</f>
        <v>0.42565835562702165</v>
      </c>
      <c r="N16" s="135">
        <f>(O16-L16)/L16</f>
        <v>0.2370280288444489</v>
      </c>
      <c r="O16" s="138">
        <f>'Evolució mensual_anys'!O48</f>
        <v>17790.899999999998</v>
      </c>
      <c r="P16" s="187">
        <f>'Evolució mensual_anys'!P48</f>
        <v>0.33283662925951801</v>
      </c>
      <c r="Q16" s="135">
        <f>(R16-O16)/O16</f>
        <v>2.9565676834786531E-2</v>
      </c>
      <c r="R16" s="138">
        <f>'Evolució mensual_anys'!O18</f>
        <v>18316.900000000001</v>
      </c>
      <c r="S16" s="187">
        <f>'Evolució mensual_anys'!P18</f>
        <v>0.34267716947898458</v>
      </c>
    </row>
    <row r="17" spans="1:19" x14ac:dyDescent="0.25">
      <c r="A17" s="384"/>
      <c r="B17" s="126" t="s">
        <v>45</v>
      </c>
      <c r="C17" s="133">
        <f>'Evolució mensual_anys'!O147</f>
        <v>5595</v>
      </c>
      <c r="D17" s="104">
        <f>'Evolució mensual_anys'!P147</f>
        <v>0.18315168200023241</v>
      </c>
      <c r="E17" s="137">
        <f t="shared" si="3"/>
        <v>0.19910634495084897</v>
      </c>
      <c r="F17" s="31">
        <f>'Evolució mensual_anys'!O124</f>
        <v>6709</v>
      </c>
      <c r="G17" s="104">
        <f>'Evolució mensual_anys'!P124</f>
        <v>0.16516982284065507</v>
      </c>
      <c r="H17" s="137">
        <f>(I17-F17)/F17</f>
        <v>-0.52809658667461623</v>
      </c>
      <c r="I17" s="31">
        <f>'Evolució mensual_anys'!O101</f>
        <v>3166</v>
      </c>
      <c r="J17" s="103">
        <f>'Evolució mensual_anys'!P101</f>
        <v>0.15697318416088016</v>
      </c>
      <c r="K17" s="137">
        <f>(L17-I17)/I17</f>
        <v>0.75274162981680337</v>
      </c>
      <c r="L17" s="31">
        <f>'Evolució mensual_anys'!O77</f>
        <v>5549.1799999999994</v>
      </c>
      <c r="M17" s="189">
        <f>'Evolució mensual_anys'!P77</f>
        <v>0.16423722437735275</v>
      </c>
      <c r="N17" s="137">
        <f>(O17-L17)/L17</f>
        <v>0.64126952090218736</v>
      </c>
      <c r="O17" s="31">
        <f>'Evolució mensual_anys'!O49</f>
        <v>9107.6999999999989</v>
      </c>
      <c r="P17" s="189">
        <f>'Evolució mensual_anys'!P49</f>
        <v>0.17038914098257604</v>
      </c>
      <c r="Q17" s="137">
        <f>(R17-O17)/O17</f>
        <v>0.22636889664789145</v>
      </c>
      <c r="R17" s="31">
        <f>'Evolució mensual_anys'!O19</f>
        <v>11169.4</v>
      </c>
      <c r="S17" s="189">
        <f>'Evolució mensual_anys'!P19</f>
        <v>0.20895994282758382</v>
      </c>
    </row>
    <row r="18" spans="1:19" x14ac:dyDescent="0.25">
      <c r="A18" s="384"/>
      <c r="B18" s="126" t="s">
        <v>28</v>
      </c>
      <c r="C18" s="133">
        <f>'Evolució mensual_anys'!O148</f>
        <v>2227</v>
      </c>
      <c r="D18" s="104">
        <f>'Evolució mensual_anys'!P148</f>
        <v>7.2900589064256935E-2</v>
      </c>
      <c r="E18" s="137">
        <f t="shared" si="3"/>
        <v>0.25639874270318813</v>
      </c>
      <c r="F18" s="31">
        <f>'Evolució mensual_anys'!O125</f>
        <v>2798</v>
      </c>
      <c r="G18" s="104">
        <f>'Evolució mensual_anys'!P125</f>
        <v>6.8884358966783854E-2</v>
      </c>
      <c r="H18" s="137">
        <f t="shared" ref="H18:H30" si="5">(I18-F18)/F18</f>
        <v>-0.18066476054324518</v>
      </c>
      <c r="I18" s="31">
        <f>'Evolució mensual_anys'!O102</f>
        <v>2292.5</v>
      </c>
      <c r="J18" s="103">
        <f>'Evolució mensual_anys'!P102</f>
        <v>0.11366425290234294</v>
      </c>
      <c r="K18" s="137">
        <f t="shared" ref="K18:K24" si="6">(L18-I18)/I18</f>
        <v>0.74054961832061095</v>
      </c>
      <c r="L18" s="31">
        <f>'Evolució mensual_anys'!O78</f>
        <v>3990.2100000000005</v>
      </c>
      <c r="M18" s="189">
        <f>'Evolució mensual_anys'!P78</f>
        <v>0.11809691072964958</v>
      </c>
      <c r="N18" s="137">
        <f t="shared" ref="N18:N20" si="7">(O18-L18)/L18</f>
        <v>2.2805817237689128E-2</v>
      </c>
      <c r="O18" s="31">
        <f>'Evolució mensual_anys'!O50</f>
        <v>4081.21</v>
      </c>
      <c r="P18" s="189">
        <f>'Evolució mensual_anys'!P50</f>
        <v>7.6352302564807725E-2</v>
      </c>
      <c r="Q18" s="137">
        <f t="shared" ref="Q18:Q20" si="8">(R18-O18)/O18</f>
        <v>0.31768029579462964</v>
      </c>
      <c r="R18" s="31">
        <f>'Evolució mensual_anys'!O20</f>
        <v>5377.7300000000005</v>
      </c>
      <c r="S18" s="189">
        <f>'Evolució mensual_anys'!P20</f>
        <v>0.1006079246281969</v>
      </c>
    </row>
    <row r="19" spans="1:19" x14ac:dyDescent="0.25">
      <c r="A19" s="384"/>
      <c r="B19" s="126" t="s">
        <v>29</v>
      </c>
      <c r="C19" s="133">
        <f>'Evolució mensual_anys'!O149</f>
        <v>511.5</v>
      </c>
      <c r="D19" s="104">
        <f>'Evolució mensual_anys'!P149</f>
        <v>1.6743893716375136E-2</v>
      </c>
      <c r="E19" s="137">
        <f t="shared" si="3"/>
        <v>-0.17204301075268819</v>
      </c>
      <c r="F19" s="31">
        <f>'Evolució mensual_anys'!O126</f>
        <v>423.5</v>
      </c>
      <c r="G19" s="104">
        <f>'Evolució mensual_anys'!P126</f>
        <v>1.0426206584143302E-2</v>
      </c>
      <c r="H19" s="137">
        <f t="shared" si="5"/>
        <v>-0.44391971664698937</v>
      </c>
      <c r="I19" s="31">
        <f>'Evolució mensual_anys'!O103</f>
        <v>235.5</v>
      </c>
      <c r="J19" s="103">
        <f>'Evolució mensual_anys'!P103</f>
        <v>1.1676306023337739E-2</v>
      </c>
      <c r="K19" s="137">
        <f t="shared" si="6"/>
        <v>4.2462845010615709E-2</v>
      </c>
      <c r="L19" s="31">
        <f>'Evolució mensual_anys'!O79</f>
        <v>245.5</v>
      </c>
      <c r="M19" s="189">
        <f>'Evolució mensual_anys'!P79</f>
        <v>7.2659813854731876E-3</v>
      </c>
      <c r="N19" s="137">
        <f t="shared" si="7"/>
        <v>-0.13441955193482688</v>
      </c>
      <c r="O19" s="31">
        <f>'Evolució mensual_anys'!O51</f>
        <v>212.5</v>
      </c>
      <c r="P19" s="189">
        <f>'Evolució mensual_anys'!P51</f>
        <v>3.9755034156589934E-3</v>
      </c>
      <c r="Q19" s="137">
        <f t="shared" si="8"/>
        <v>2.6</v>
      </c>
      <c r="R19" s="31">
        <f>'Evolució mensual_anys'!O21</f>
        <v>765</v>
      </c>
      <c r="S19" s="189">
        <f>'Evolució mensual_anys'!P21</f>
        <v>1.4311812296372376E-2</v>
      </c>
    </row>
    <row r="20" spans="1:19" x14ac:dyDescent="0.25">
      <c r="A20" s="384"/>
      <c r="B20" s="126" t="s">
        <v>46</v>
      </c>
      <c r="C20" s="133">
        <f>'Evolució mensual_anys'!O150</f>
        <v>14431.25</v>
      </c>
      <c r="D20" s="104">
        <f>'Evolució mensual_anys'!P150</f>
        <v>0.47240531025305704</v>
      </c>
      <c r="E20" s="137">
        <f t="shared" si="3"/>
        <v>0.25821048072758768</v>
      </c>
      <c r="F20" s="31">
        <f>'Evolució mensual_anys'!O127</f>
        <v>18157.55</v>
      </c>
      <c r="G20" s="104">
        <f>'Evolució mensual_anys'!P127</f>
        <v>0.44702329955587061</v>
      </c>
      <c r="H20" s="137">
        <f t="shared" si="5"/>
        <v>-0.68258382876544466</v>
      </c>
      <c r="I20" s="31">
        <f>'Evolució mensual_anys'!O104</f>
        <v>5763.5</v>
      </c>
      <c r="J20" s="103">
        <f>'Evolució mensual_anys'!P104</f>
        <v>0.28575961683867113</v>
      </c>
      <c r="K20" s="137">
        <f t="shared" si="6"/>
        <v>0.23979352823804967</v>
      </c>
      <c r="L20" s="31">
        <f>'Evolució mensual_anys'!O80</f>
        <v>7145.5499999999993</v>
      </c>
      <c r="M20" s="189">
        <f>'Evolució mensual_anys'!P80</f>
        <v>0.21148445331555166</v>
      </c>
      <c r="N20" s="137">
        <f t="shared" si="7"/>
        <v>1.5359839340568608</v>
      </c>
      <c r="O20" s="31">
        <f>'Evolució mensual_anys'!O52</f>
        <v>18121</v>
      </c>
      <c r="P20" s="189">
        <f>'Evolució mensual_anys'!P52</f>
        <v>0.33901222303603118</v>
      </c>
      <c r="Q20" s="137">
        <f t="shared" si="8"/>
        <v>7.1105347387009549E-2</v>
      </c>
      <c r="R20" s="31">
        <f>'Evolució mensual_anys'!O22</f>
        <v>19409.5</v>
      </c>
      <c r="S20" s="189">
        <f>'Evolució mensual_anys'!P22</f>
        <v>0.36311780492345053</v>
      </c>
    </row>
    <row r="21" spans="1:19" x14ac:dyDescent="0.25">
      <c r="A21" s="384"/>
      <c r="B21" s="71" t="s">
        <v>63</v>
      </c>
      <c r="C21" s="133"/>
      <c r="D21" s="104"/>
      <c r="E21" s="137"/>
      <c r="F21" s="31"/>
      <c r="G21" s="104"/>
      <c r="H21" s="137"/>
      <c r="I21" s="31"/>
      <c r="J21" s="103"/>
      <c r="K21" s="137"/>
      <c r="L21" s="31">
        <f>'Evolució mensual_anys'!O81</f>
        <v>687</v>
      </c>
      <c r="M21" s="189">
        <f>'Evolució mensual_anys'!P81</f>
        <v>2.0332909213116417E-2</v>
      </c>
      <c r="N21" s="137"/>
      <c r="O21" s="31">
        <f>'Evolució mensual_anys'!O53</f>
        <v>283.94</v>
      </c>
      <c r="P21" s="189">
        <f>'Evolució mensual_anys'!P53</f>
        <v>5.312020893375128E-3</v>
      </c>
      <c r="Q21" s="137"/>
      <c r="R21" s="31">
        <f>'Evolució mensual_anys'!O23</f>
        <v>48.22</v>
      </c>
      <c r="S21" s="189">
        <f>'Evolució mensual_anys'!P23</f>
        <v>9.0211188095565492E-4</v>
      </c>
    </row>
    <row r="22" spans="1:19" x14ac:dyDescent="0.25">
      <c r="A22" s="384"/>
      <c r="B22" s="71" t="s">
        <v>75</v>
      </c>
      <c r="C22" s="133"/>
      <c r="D22" s="104"/>
      <c r="E22" s="137"/>
      <c r="F22" s="31"/>
      <c r="G22" s="104"/>
      <c r="H22" s="137"/>
      <c r="I22" s="31"/>
      <c r="J22" s="103"/>
      <c r="K22" s="137"/>
      <c r="L22" s="31"/>
      <c r="M22" s="189"/>
      <c r="N22" s="137"/>
      <c r="O22" s="31">
        <f>'Evolució mensual_anys'!O54</f>
        <v>2583</v>
      </c>
      <c r="P22" s="189">
        <f>'Evolució mensual_anys'!P54</f>
        <v>4.8323413283045555E-2</v>
      </c>
      <c r="Q22" s="137"/>
      <c r="R22" s="31">
        <f>'Evolució mensual_anys'!O24</f>
        <v>4905.3599999999997</v>
      </c>
      <c r="S22" s="189">
        <f>'Evolució mensual_anys'!P24</f>
        <v>9.1770707929585874E-2</v>
      </c>
    </row>
    <row r="23" spans="1:19" x14ac:dyDescent="0.25">
      <c r="A23" s="384"/>
      <c r="B23" s="126" t="s">
        <v>53</v>
      </c>
      <c r="C23" s="133">
        <f>'Evolució mensual_anys'!O151</f>
        <v>391.7</v>
      </c>
      <c r="D23" s="104">
        <f>'Evolució mensual_anys'!P151</f>
        <v>1.2822254484270068E-2</v>
      </c>
      <c r="E23" s="137">
        <f t="shared" si="3"/>
        <v>1.0467194281337759</v>
      </c>
      <c r="F23" s="31">
        <f>'Evolució mensual_anys'!O128</f>
        <v>801.7</v>
      </c>
      <c r="G23" s="104">
        <f>'Evolució mensual_anys'!P128</f>
        <v>1.9737166041340463E-2</v>
      </c>
      <c r="H23" s="137">
        <f t="shared" si="5"/>
        <v>-0.66121990769614569</v>
      </c>
      <c r="I23" s="31">
        <f>'Evolució mensual_anys'!O105</f>
        <v>271.60000000000002</v>
      </c>
      <c r="J23" s="103">
        <f>'Evolució mensual_anys'!P105</f>
        <v>1.3466177137743228E-2</v>
      </c>
      <c r="K23" s="137">
        <f t="shared" si="6"/>
        <v>1.0493372606774667</v>
      </c>
      <c r="L23" s="31">
        <f>'Evolució mensual_anys'!O82</f>
        <v>556.6</v>
      </c>
      <c r="M23" s="189">
        <f>'Evolució mensual_anys'!P82</f>
        <v>1.6473504029142064E-2</v>
      </c>
      <c r="N23" s="137">
        <f t="shared" ref="N23:N24" si="9">(O23-L23)/L23</f>
        <v>0.17966223499820336</v>
      </c>
      <c r="O23" s="31">
        <f>'Evolució mensual_anys'!O55</f>
        <v>656.6</v>
      </c>
      <c r="P23" s="189">
        <f>'Evolució mensual_anys'!P55</f>
        <v>1.2283837848102096E-2</v>
      </c>
      <c r="Q23" s="137">
        <f t="shared" ref="Q23:Q24" si="10">(R23-O23)/O23</f>
        <v>-0.25890953396283883</v>
      </c>
      <c r="R23" s="31">
        <f>'Evolució mensual_anys'!O25</f>
        <v>486.6</v>
      </c>
      <c r="S23" s="189">
        <f>'Evolució mensual_anys'!P25</f>
        <v>9.1034351155749003E-3</v>
      </c>
    </row>
    <row r="24" spans="1:19" ht="15.75" thickBot="1" x14ac:dyDescent="0.3">
      <c r="A24" s="385"/>
      <c r="B24" s="127" t="s">
        <v>50</v>
      </c>
      <c r="C24" s="134">
        <f>'Evolució mensual_anys'!O152</f>
        <v>3952.7000000000003</v>
      </c>
      <c r="D24" s="108">
        <f>'Evolució mensual_anys'!P152</f>
        <v>0.12939118023991397</v>
      </c>
      <c r="E24" s="136">
        <f t="shared" si="3"/>
        <v>-0.28586788777291489</v>
      </c>
      <c r="F24" s="94">
        <f>'Evolució mensual_anys'!O129</f>
        <v>2822.7499999999995</v>
      </c>
      <c r="G24" s="108">
        <f>'Evolució mensual_anys'!P129</f>
        <v>6.9493682728194811E-2</v>
      </c>
      <c r="H24" s="136">
        <f t="shared" si="5"/>
        <v>-0.77080860862633938</v>
      </c>
      <c r="I24" s="94">
        <f>'Evolució mensual_anys'!O106</f>
        <v>646.95000000000005</v>
      </c>
      <c r="J24" s="107">
        <f>'Evolució mensual_anys'!P106</f>
        <v>3.2076374445003608E-2</v>
      </c>
      <c r="K24" s="136">
        <f t="shared" si="6"/>
        <v>0.90367107195301</v>
      </c>
      <c r="L24" s="94">
        <f>'Evolució mensual_anys'!O83</f>
        <v>1231.58</v>
      </c>
      <c r="M24" s="188">
        <f>'Evolució mensual_anys'!P83</f>
        <v>3.6450661322692743E-2</v>
      </c>
      <c r="N24" s="136">
        <f t="shared" si="9"/>
        <v>-0.50023546988421375</v>
      </c>
      <c r="O24" s="94">
        <f>'Evolució mensual_anys'!O56</f>
        <v>615.5</v>
      </c>
      <c r="P24" s="188">
        <f>'Evolució mensual_anys'!P56</f>
        <v>1.1514928716885225E-2</v>
      </c>
      <c r="Q24" s="136">
        <f t="shared" si="10"/>
        <v>-0.10375304630381806</v>
      </c>
      <c r="R24" s="94">
        <f>'Evolució mensual_anys'!O26</f>
        <v>551.64</v>
      </c>
      <c r="S24" s="188">
        <f>'Evolució mensual_anys'!P26</f>
        <v>1.0320219784537069E-2</v>
      </c>
    </row>
    <row r="25" spans="1:19" x14ac:dyDescent="0.25">
      <c r="A25" s="190"/>
      <c r="B25" s="200"/>
      <c r="C25" s="31">
        <f>SUM(C16:C24)</f>
        <v>30940.15</v>
      </c>
      <c r="D25" s="103"/>
      <c r="E25" s="103"/>
      <c r="F25" s="31">
        <f>SUM(F16:F24)</f>
        <v>41420.5</v>
      </c>
      <c r="G25" s="103"/>
      <c r="H25" s="103"/>
      <c r="I25" s="31">
        <f>SUM(I16:I24)</f>
        <v>20169.05</v>
      </c>
      <c r="J25" s="103"/>
      <c r="K25" s="103"/>
      <c r="L25" s="31">
        <f>SUM(L16:L24)</f>
        <v>33787.589999999997</v>
      </c>
      <c r="M25" s="197"/>
      <c r="N25" s="103"/>
      <c r="O25" s="31">
        <f>SUM(O16:O24)</f>
        <v>53452.35</v>
      </c>
      <c r="P25" s="197"/>
      <c r="Q25" s="103"/>
      <c r="R25" s="31">
        <f>SUM(R16:R24)</f>
        <v>61030.350000000006</v>
      </c>
      <c r="S25" s="197"/>
    </row>
    <row r="26" spans="1:19" ht="15.75" thickBot="1" x14ac:dyDescent="0.3">
      <c r="A26" s="392"/>
      <c r="B26" s="393"/>
      <c r="C26" s="393"/>
      <c r="D26" s="393"/>
      <c r="E26" s="393"/>
      <c r="F26" s="393"/>
      <c r="G26" s="393"/>
      <c r="H26" s="393"/>
      <c r="I26" s="393"/>
      <c r="J26" s="393"/>
      <c r="K26" s="393"/>
      <c r="L26" s="393"/>
      <c r="M26" s="393"/>
      <c r="N26" s="393"/>
      <c r="O26" s="393"/>
      <c r="P26" s="393"/>
    </row>
    <row r="27" spans="1:19" x14ac:dyDescent="0.25">
      <c r="A27" s="396" t="s">
        <v>16</v>
      </c>
      <c r="B27" s="125" t="s">
        <v>27</v>
      </c>
      <c r="C27" s="139">
        <f>'Evolució mensual_anys'!Q146</f>
        <v>2.2067972350230414</v>
      </c>
      <c r="D27" s="109"/>
      <c r="E27" s="135">
        <f>(F27-C27)/C27</f>
        <v>-1.4088867376369258E-2</v>
      </c>
      <c r="F27" s="139">
        <f>'Evolució mensual_anys'!Q123</f>
        <v>2.1757059614522634</v>
      </c>
      <c r="G27" s="111"/>
      <c r="H27" s="135">
        <f t="shared" si="5"/>
        <v>0.11932059899052348</v>
      </c>
      <c r="I27" s="139">
        <f>'Evolució mensual_anys'!Q100</f>
        <v>2.4353125000000002</v>
      </c>
      <c r="J27" s="111"/>
      <c r="K27" s="135">
        <f t="shared" ref="K27:K30" si="11">(L27-I27)/I27</f>
        <v>0.17993911644623806</v>
      </c>
      <c r="L27" s="139">
        <f>'Evolució mensual_anys'!Q76</f>
        <v>2.8735204795204794</v>
      </c>
      <c r="M27" s="301"/>
      <c r="N27" s="135">
        <f t="shared" ref="N27:N29" si="12">(O27-L27)/L27</f>
        <v>5.3663254657329254E-2</v>
      </c>
      <c r="O27" s="139">
        <f>'Evolució mensual_anys'!Q48</f>
        <v>3.0277229407760378</v>
      </c>
      <c r="P27" s="141"/>
      <c r="Q27" s="135">
        <f t="shared" ref="Q27:Q29" si="13">(R27-O27)/O27</f>
        <v>0.34617888675594255</v>
      </c>
      <c r="R27" s="139">
        <f>'Evolució mensual_anys'!Q18</f>
        <v>4.0758566978193151</v>
      </c>
      <c r="S27" s="141"/>
    </row>
    <row r="28" spans="1:19" x14ac:dyDescent="0.25">
      <c r="A28" s="396"/>
      <c r="B28" s="126" t="s">
        <v>45</v>
      </c>
      <c r="C28" s="105">
        <f>'Evolució mensual_anys'!Q147</f>
        <v>1.9700704225352113</v>
      </c>
      <c r="D28" s="103"/>
      <c r="E28" s="137">
        <f t="shared" ref="E28:E30" si="14">(F28-C28)/C28</f>
        <v>0.1446931158522391</v>
      </c>
      <c r="F28" s="105">
        <f>'Evolució mensual_anys'!Q124</f>
        <v>2.2551260504201682</v>
      </c>
      <c r="G28" s="104"/>
      <c r="H28" s="137">
        <f t="shared" si="5"/>
        <v>0.74399087533294006</v>
      </c>
      <c r="I28" s="105">
        <f>'Evolució mensual_anys'!Q101</f>
        <v>3.9329192546583851</v>
      </c>
      <c r="J28" s="104"/>
      <c r="K28" s="137">
        <f t="shared" si="11"/>
        <v>0.25529983274246137</v>
      </c>
      <c r="L28" s="105">
        <f>'Evolució mensual_anys'!Q77</f>
        <v>4.9369928825622766</v>
      </c>
      <c r="M28" s="130"/>
      <c r="N28" s="137">
        <f t="shared" si="12"/>
        <v>9.6781772588619849E-2</v>
      </c>
      <c r="O28" s="105">
        <f>'Evolució mensual_anys'!Q49</f>
        <v>5.4148038049940537</v>
      </c>
      <c r="P28" s="140"/>
      <c r="Q28" s="137">
        <f t="shared" si="13"/>
        <v>0.37792417111673576</v>
      </c>
      <c r="R28" s="105">
        <f>'Evolució mensual_anys'!Q19</f>
        <v>7.4611890447561784</v>
      </c>
      <c r="S28" s="140"/>
    </row>
    <row r="29" spans="1:19" x14ac:dyDescent="0.25">
      <c r="A29" s="396"/>
      <c r="B29" s="126" t="s">
        <v>28</v>
      </c>
      <c r="C29" s="105">
        <f>'Evolució mensual_anys'!Q148</f>
        <v>2.7092457420924574</v>
      </c>
      <c r="D29" s="103"/>
      <c r="E29" s="137">
        <f t="shared" si="14"/>
        <v>-2.7533176551769546E-2</v>
      </c>
      <c r="F29" s="105">
        <f>'Evolució mensual_anys'!Q125</f>
        <v>2.6346516007532959</v>
      </c>
      <c r="G29" s="104"/>
      <c r="H29" s="137">
        <f t="shared" si="5"/>
        <v>4.773700119022656E-3</v>
      </c>
      <c r="I29" s="105">
        <f>'Evolució mensual_anys'!Q102</f>
        <v>2.6472286374133951</v>
      </c>
      <c r="J29" s="104"/>
      <c r="K29" s="137">
        <f t="shared" si="11"/>
        <v>4.2078410830439653E-3</v>
      </c>
      <c r="L29" s="105">
        <f>'Evolució mensual_anys'!Q78</f>
        <v>2.6583677548301137</v>
      </c>
      <c r="M29" s="130"/>
      <c r="N29" s="137">
        <f t="shared" si="12"/>
        <v>-4.5254022590938282E-2</v>
      </c>
      <c r="O29" s="105">
        <f>'Evolució mensual_anys'!Q50</f>
        <v>2.5380659203980098</v>
      </c>
      <c r="P29" s="140"/>
      <c r="Q29" s="137">
        <f t="shared" si="13"/>
        <v>0.49952577185970604</v>
      </c>
      <c r="R29" s="105">
        <f>'Evolució mensual_anys'!Q20</f>
        <v>3.8058952583156409</v>
      </c>
      <c r="S29" s="140"/>
    </row>
    <row r="30" spans="1:19" x14ac:dyDescent="0.25">
      <c r="A30" s="396"/>
      <c r="B30" s="126" t="s">
        <v>29</v>
      </c>
      <c r="C30" s="105">
        <f>'Evolució mensual_anys'!Q149</f>
        <v>1.5738461538461539</v>
      </c>
      <c r="D30" s="103"/>
      <c r="E30" s="137">
        <f t="shared" si="14"/>
        <v>5.1117271505376309E-2</v>
      </c>
      <c r="F30" s="105">
        <f>'Evolució mensual_anys'!Q126</f>
        <v>1.654296875</v>
      </c>
      <c r="G30" s="104"/>
      <c r="H30" s="137">
        <f t="shared" si="5"/>
        <v>4.6739356899784749E-2</v>
      </c>
      <c r="I30" s="105">
        <f>'Evolució mensual_anys'!Q103</f>
        <v>1.7316176470588236</v>
      </c>
      <c r="J30" s="104"/>
      <c r="K30" s="137">
        <f t="shared" si="11"/>
        <v>-0.33438992055660216</v>
      </c>
      <c r="L30" s="105">
        <f>'Evolució mensual_anys'!Q79</f>
        <v>1.1525821596244132</v>
      </c>
      <c r="M30" s="130"/>
      <c r="N30" s="137">
        <f>(O30-L30)/L30</f>
        <v>0.47494908350305481</v>
      </c>
      <c r="O30" s="105">
        <f>'Evolució mensual_anys'!Q51</f>
        <v>1.7</v>
      </c>
      <c r="P30" s="140"/>
      <c r="Q30" s="137">
        <f>(R30-O30)/O30</f>
        <v>0.28939828080229218</v>
      </c>
      <c r="R30" s="105">
        <f>'Evolució mensual_anys'!Q21</f>
        <v>2.1919770773638967</v>
      </c>
      <c r="S30" s="140"/>
    </row>
    <row r="31" spans="1:19" x14ac:dyDescent="0.25">
      <c r="A31" s="396"/>
      <c r="B31" s="126" t="s">
        <v>63</v>
      </c>
      <c r="C31" s="105"/>
      <c r="D31" s="103"/>
      <c r="E31" s="137"/>
      <c r="F31" s="105"/>
      <c r="G31" s="104"/>
      <c r="H31" s="137"/>
      <c r="I31" s="105"/>
      <c r="J31" s="104"/>
      <c r="K31" s="137"/>
      <c r="L31" s="105">
        <f>'Evolució mensual_anys'!Q81</f>
        <v>4.6734693877551017</v>
      </c>
      <c r="M31" s="130"/>
      <c r="N31" s="137">
        <f>(O31-L31)/L31</f>
        <v>-0.14140407130783891</v>
      </c>
      <c r="O31" s="105">
        <f>'Evolució mensual_anys'!Q52</f>
        <v>4.0126217891939771</v>
      </c>
      <c r="P31" s="140"/>
      <c r="Q31" s="137">
        <f>(R31-O31)/O31</f>
        <v>-0.59943064216470765</v>
      </c>
      <c r="R31" s="105">
        <f>'Evolució mensual_anys'!Q23</f>
        <v>1.6073333333333333</v>
      </c>
      <c r="S31" s="140"/>
    </row>
    <row r="32" spans="1:19" x14ac:dyDescent="0.25">
      <c r="A32" s="396"/>
      <c r="B32" s="126" t="s">
        <v>46</v>
      </c>
      <c r="C32" s="105">
        <f>'Evolució mensual_anys'!Q150</f>
        <v>2.363066972326838</v>
      </c>
      <c r="D32" s="103"/>
      <c r="E32" s="137">
        <f>(F32-C32)/C32</f>
        <v>0.21985893091020453</v>
      </c>
      <c r="F32" s="105">
        <f>'Evolució mensual_anys'!Q127</f>
        <v>2.8826083505318305</v>
      </c>
      <c r="G32" s="104"/>
      <c r="H32" s="137">
        <f>(I32-F32)/F32</f>
        <v>0.19367430603370983</v>
      </c>
      <c r="I32" s="105">
        <f>'Evolució mensual_anys'!Q104</f>
        <v>3.4408955223880597</v>
      </c>
      <c r="J32" s="104"/>
      <c r="K32" s="137">
        <f>(L32-I32)/I32</f>
        <v>0.42334075380310698</v>
      </c>
      <c r="L32" s="105">
        <f>'Evolució mensual_anys'!Q80</f>
        <v>4.8975668265935566</v>
      </c>
      <c r="M32" s="130"/>
      <c r="N32" s="137">
        <f t="shared" ref="N32" si="15">(O32-L32)/L32</f>
        <v>-4.1849050494159926E-4</v>
      </c>
      <c r="O32" s="105">
        <f>'Evolució mensual_anys'!Q53</f>
        <v>4.8955172413793102</v>
      </c>
      <c r="P32" s="140"/>
      <c r="Q32" s="137">
        <f t="shared" ref="Q32:Q33" si="16">(R32-O32)/O32</f>
        <v>-0.24653181395194679</v>
      </c>
      <c r="R32" s="105">
        <f>'Evolució mensual_anys'!Q22</f>
        <v>3.6886164956290384</v>
      </c>
      <c r="S32" s="140"/>
    </row>
    <row r="33" spans="1:19" ht="15.75" thickBot="1" x14ac:dyDescent="0.3">
      <c r="A33" s="397"/>
      <c r="B33" s="127" t="s">
        <v>75</v>
      </c>
      <c r="C33" s="302"/>
      <c r="D33" s="302"/>
      <c r="E33" s="303"/>
      <c r="F33" s="302"/>
      <c r="G33" s="101"/>
      <c r="H33" s="303"/>
      <c r="I33" s="302"/>
      <c r="J33" s="101"/>
      <c r="K33" s="303"/>
      <c r="L33" s="302"/>
      <c r="M33" s="302"/>
      <c r="N33" s="303"/>
      <c r="O33" s="106">
        <f>'Evolució mensual_anys'!Q54</f>
        <v>7.0190217391304346</v>
      </c>
      <c r="P33" s="101"/>
      <c r="Q33" s="355">
        <f t="shared" si="16"/>
        <v>-4.6566684571542658E-2</v>
      </c>
      <c r="R33" s="106">
        <f>'Evolució mensual_anys'!Q24</f>
        <v>6.6921691678035469</v>
      </c>
      <c r="S33" s="101"/>
    </row>
    <row r="34" spans="1:19" x14ac:dyDescent="0.25">
      <c r="C34" s="186">
        <f>AVERAGE(C27:C33)</f>
        <v>2.1646053051647405</v>
      </c>
      <c r="D34" s="95"/>
      <c r="E34" s="95"/>
      <c r="F34" s="186">
        <f>AVERAGE(F27:F33)</f>
        <v>2.3204777676315116</v>
      </c>
      <c r="I34" s="186">
        <f>AVERAGE(I27:I33)</f>
        <v>2.8375947123037326</v>
      </c>
      <c r="L34" s="186">
        <f>AVERAGE(L27:L33)</f>
        <v>3.5320832484809905</v>
      </c>
      <c r="O34" s="186">
        <f>AVERAGE(O27:O33)</f>
        <v>4.0868219194102604</v>
      </c>
      <c r="R34" s="186">
        <f>AVERAGE(R27:R33)</f>
        <v>4.217576725002993</v>
      </c>
    </row>
    <row r="35" spans="1:19" x14ac:dyDescent="0.25">
      <c r="B35" s="392"/>
      <c r="C35" s="393"/>
      <c r="D35" s="393"/>
      <c r="E35" s="393"/>
      <c r="F35" s="393"/>
      <c r="G35" s="393"/>
      <c r="H35" s="393"/>
      <c r="I35" s="393"/>
      <c r="J35" s="393"/>
      <c r="K35" s="393"/>
      <c r="L35" s="393"/>
      <c r="M35" s="393"/>
      <c r="N35" s="393"/>
      <c r="O35" s="393"/>
      <c r="P35" s="393"/>
      <c r="Q35" s="318"/>
    </row>
    <row r="36" spans="1:19" ht="15.75" thickBot="1" x14ac:dyDescent="0.3">
      <c r="B36" s="317" t="s">
        <v>82</v>
      </c>
      <c r="D36" s="87"/>
      <c r="E36" s="87"/>
    </row>
    <row r="37" spans="1:19" ht="15.75" thickTop="1" x14ac:dyDescent="0.25">
      <c r="A37" s="394" t="s">
        <v>66</v>
      </c>
      <c r="B37" s="172" t="s">
        <v>27</v>
      </c>
      <c r="C37" s="319"/>
      <c r="D37" s="141"/>
      <c r="E37" s="301"/>
      <c r="F37" s="301"/>
      <c r="G37" s="301"/>
      <c r="H37" s="319"/>
      <c r="I37" s="301"/>
      <c r="J37" s="141"/>
      <c r="K37" s="319"/>
      <c r="L37" s="110">
        <f>'Vendes Tiqets'!N39</f>
        <v>648</v>
      </c>
      <c r="M37" s="301"/>
      <c r="N37" s="319"/>
      <c r="O37" s="110">
        <f>'Vendes Tiqets'!N21</f>
        <v>458</v>
      </c>
      <c r="P37" s="187">
        <f>(O37-L37)/L37</f>
        <v>-0.2932098765432099</v>
      </c>
      <c r="Q37" s="319"/>
      <c r="R37" s="110">
        <f>'Vendes Tiqets'!N3</f>
        <v>308</v>
      </c>
      <c r="S37" s="187">
        <f>(R37-O37)/O37</f>
        <v>-0.32751091703056767</v>
      </c>
    </row>
    <row r="38" spans="1:19" x14ac:dyDescent="0.25">
      <c r="A38" s="395"/>
      <c r="B38" s="173" t="s">
        <v>61</v>
      </c>
      <c r="C38" s="142"/>
      <c r="D38" s="140"/>
      <c r="E38" s="130"/>
      <c r="F38" s="130"/>
      <c r="G38" s="130"/>
      <c r="H38" s="142"/>
      <c r="I38" s="130"/>
      <c r="J38" s="140"/>
      <c r="K38" s="142"/>
      <c r="L38" s="102">
        <f>'Vendes Tiqets'!N40</f>
        <v>779</v>
      </c>
      <c r="M38" s="130"/>
      <c r="N38" s="142"/>
      <c r="O38" s="102">
        <f>'Vendes Tiqets'!N22</f>
        <v>1231</v>
      </c>
      <c r="P38" s="189">
        <f t="shared" ref="P38:P41" si="17">(O38-L38)/L38</f>
        <v>0.58023106546854941</v>
      </c>
      <c r="Q38" s="142"/>
      <c r="R38" s="102">
        <f>'Vendes Tiqets'!N4</f>
        <v>1079</v>
      </c>
      <c r="S38" s="189">
        <f t="shared" ref="S38:S39" si="18">(R38-O38)/O38</f>
        <v>-0.12347684809098294</v>
      </c>
    </row>
    <row r="39" spans="1:19" x14ac:dyDescent="0.25">
      <c r="A39" s="395"/>
      <c r="B39" s="170" t="s">
        <v>62</v>
      </c>
      <c r="C39" s="142"/>
      <c r="D39" s="140"/>
      <c r="E39" s="130"/>
      <c r="F39" s="130"/>
      <c r="G39" s="130"/>
      <c r="H39" s="142"/>
      <c r="I39" s="130"/>
      <c r="J39" s="140"/>
      <c r="K39" s="142"/>
      <c r="L39" s="102">
        <f>'Vendes Tiqets'!N41</f>
        <v>442</v>
      </c>
      <c r="M39" s="130"/>
      <c r="N39" s="142"/>
      <c r="O39" s="102">
        <f>'Vendes Tiqets'!N23</f>
        <v>296</v>
      </c>
      <c r="P39" s="189">
        <f t="shared" si="17"/>
        <v>-0.33031674208144796</v>
      </c>
      <c r="Q39" s="142"/>
      <c r="R39" s="102">
        <f>'Vendes Tiqets'!N5</f>
        <v>268</v>
      </c>
      <c r="S39" s="189">
        <f t="shared" si="18"/>
        <v>-9.45945945945946E-2</v>
      </c>
    </row>
    <row r="40" spans="1:19" x14ac:dyDescent="0.25">
      <c r="A40" s="320"/>
      <c r="B40" s="170" t="s">
        <v>75</v>
      </c>
      <c r="C40" s="142"/>
      <c r="D40" s="140"/>
      <c r="E40" s="130"/>
      <c r="F40" s="130"/>
      <c r="G40" s="130"/>
      <c r="H40" s="142"/>
      <c r="I40" s="130"/>
      <c r="J40" s="140"/>
      <c r="K40" s="142"/>
      <c r="L40" s="102"/>
      <c r="M40" s="130"/>
      <c r="N40" s="142"/>
      <c r="O40" s="102">
        <f>'Vendes Tiqets'!N24</f>
        <v>270</v>
      </c>
      <c r="P40" s="189"/>
      <c r="Q40" s="142"/>
      <c r="R40" s="102">
        <f>'Vendes Tiqets'!N6</f>
        <v>618</v>
      </c>
      <c r="S40" s="189"/>
    </row>
    <row r="41" spans="1:19" ht="15.75" thickBot="1" x14ac:dyDescent="0.3">
      <c r="B41" s="171" t="s">
        <v>63</v>
      </c>
      <c r="C41" s="303"/>
      <c r="D41" s="101"/>
      <c r="E41" s="302"/>
      <c r="F41" s="302"/>
      <c r="G41" s="302"/>
      <c r="H41" s="303"/>
      <c r="I41" s="302"/>
      <c r="J41" s="101"/>
      <c r="K41" s="303"/>
      <c r="L41" s="112">
        <f>'Vendes Tiqets'!N42</f>
        <v>146</v>
      </c>
      <c r="M41" s="302"/>
      <c r="N41" s="303"/>
      <c r="O41" s="112">
        <f>'Vendes Tiqets'!N25</f>
        <v>30</v>
      </c>
      <c r="P41" s="188">
        <f t="shared" si="17"/>
        <v>-0.79452054794520544</v>
      </c>
      <c r="Q41" s="303"/>
      <c r="R41" s="112">
        <f>'Vendes Tiqets'!N7</f>
        <v>28</v>
      </c>
      <c r="S41" s="188">
        <f t="shared" ref="S41" si="19">(R41-O41)/O41</f>
        <v>-6.6666666666666666E-2</v>
      </c>
    </row>
    <row r="42" spans="1:19" x14ac:dyDescent="0.25">
      <c r="L42" s="185">
        <f>SUM(L37:L41)</f>
        <v>2015</v>
      </c>
      <c r="O42" s="185">
        <f>SUM(O37:O41)</f>
        <v>2285</v>
      </c>
      <c r="R42" s="185">
        <f>SUM(R37:R41)</f>
        <v>2301</v>
      </c>
    </row>
    <row r="43" spans="1:19" ht="15.75" thickBot="1" x14ac:dyDescent="0.3">
      <c r="B43" s="317" t="s">
        <v>83</v>
      </c>
    </row>
    <row r="44" spans="1:19" x14ac:dyDescent="0.25">
      <c r="B44" s="172" t="s">
        <v>27</v>
      </c>
      <c r="C44" s="319"/>
      <c r="D44" s="141"/>
      <c r="E44" s="301"/>
      <c r="F44" s="301"/>
      <c r="G44" s="301"/>
      <c r="H44" s="319"/>
      <c r="I44" s="301"/>
      <c r="J44" s="141"/>
      <c r="K44" s="319"/>
      <c r="L44" s="138">
        <f>'Vendes Tiqets'!N47</f>
        <v>1496.77</v>
      </c>
      <c r="M44" s="301"/>
      <c r="N44" s="319"/>
      <c r="O44" s="138">
        <f>'Vendes Tiqets'!N30</f>
        <v>1077.8500000000001</v>
      </c>
      <c r="P44" s="111">
        <f>(O44-L44)/L44</f>
        <v>-0.27988268070578637</v>
      </c>
      <c r="Q44" s="319"/>
      <c r="R44" s="138">
        <f>'Vendes Tiqets'!N12</f>
        <v>1252.51</v>
      </c>
      <c r="S44" s="111">
        <f>(R44-O44)/O44</f>
        <v>0.16204481143016175</v>
      </c>
    </row>
    <row r="45" spans="1:19" x14ac:dyDescent="0.25">
      <c r="B45" s="173" t="s">
        <v>61</v>
      </c>
      <c r="C45" s="142"/>
      <c r="D45" s="140"/>
      <c r="E45" s="130"/>
      <c r="F45" s="130"/>
      <c r="G45" s="130"/>
      <c r="H45" s="142"/>
      <c r="I45" s="130"/>
      <c r="J45" s="140"/>
      <c r="K45" s="142"/>
      <c r="L45" s="31">
        <f>'Vendes Tiqets'!N48</f>
        <v>3689.12</v>
      </c>
      <c r="M45" s="130"/>
      <c r="N45" s="142"/>
      <c r="O45" s="31">
        <f>'Vendes Tiqets'!N31</f>
        <v>5931.6</v>
      </c>
      <c r="P45" s="104">
        <f t="shared" ref="P45:P48" si="20">(O45-L45)/L45</f>
        <v>0.6078631218285121</v>
      </c>
      <c r="Q45" s="142"/>
      <c r="R45" s="31">
        <f>'Vendes Tiqets'!N13</f>
        <v>6227.9299999999994</v>
      </c>
      <c r="S45" s="104">
        <f t="shared" ref="S45:S46" si="21">(R45-O45)/O45</f>
        <v>4.9957852855890314E-2</v>
      </c>
    </row>
    <row r="46" spans="1:19" x14ac:dyDescent="0.25">
      <c r="B46" s="170" t="s">
        <v>62</v>
      </c>
      <c r="C46" s="142"/>
      <c r="D46" s="140"/>
      <c r="E46" s="130"/>
      <c r="F46" s="130"/>
      <c r="G46" s="130"/>
      <c r="H46" s="142"/>
      <c r="I46" s="130"/>
      <c r="J46" s="140"/>
      <c r="K46" s="142"/>
      <c r="L46" s="31">
        <f>'Vendes Tiqets'!N49</f>
        <v>1148.93</v>
      </c>
      <c r="M46" s="130"/>
      <c r="N46" s="142"/>
      <c r="O46" s="31">
        <f>'Vendes Tiqets'!N32</f>
        <v>762.83</v>
      </c>
      <c r="P46" s="104">
        <f t="shared" si="20"/>
        <v>-0.336051804722655</v>
      </c>
      <c r="Q46" s="142"/>
      <c r="R46" s="31">
        <f>'Vendes Tiqets'!N14</f>
        <v>1030.6200000000001</v>
      </c>
      <c r="S46" s="104">
        <f t="shared" si="21"/>
        <v>0.35104807099878094</v>
      </c>
    </row>
    <row r="47" spans="1:19" x14ac:dyDescent="0.25">
      <c r="B47" s="170" t="s">
        <v>75</v>
      </c>
      <c r="C47" s="142"/>
      <c r="D47" s="140"/>
      <c r="E47" s="130"/>
      <c r="F47" s="130"/>
      <c r="G47" s="130"/>
      <c r="H47" s="142"/>
      <c r="I47" s="130"/>
      <c r="J47" s="140"/>
      <c r="K47" s="142"/>
      <c r="L47" s="31"/>
      <c r="M47" s="130"/>
      <c r="N47" s="142"/>
      <c r="O47" s="31">
        <f>'Vendes Tiqets'!N33</f>
        <v>2015.76</v>
      </c>
      <c r="P47" s="104"/>
      <c r="Q47" s="142"/>
      <c r="R47" s="31">
        <f>'Vendes Tiqets'!N15</f>
        <v>4569.2599999999993</v>
      </c>
      <c r="S47" s="104"/>
    </row>
    <row r="48" spans="1:19" ht="15.75" thickBot="1" x14ac:dyDescent="0.3">
      <c r="B48" s="171" t="s">
        <v>63</v>
      </c>
      <c r="C48" s="303"/>
      <c r="D48" s="101"/>
      <c r="E48" s="302"/>
      <c r="F48" s="302"/>
      <c r="G48" s="302"/>
      <c r="H48" s="303"/>
      <c r="I48" s="302"/>
      <c r="J48" s="101"/>
      <c r="K48" s="303"/>
      <c r="L48" s="94">
        <f>'Vendes Tiqets'!N50</f>
        <v>639.56999999999994</v>
      </c>
      <c r="M48" s="302"/>
      <c r="N48" s="303"/>
      <c r="O48" s="94">
        <f>'Vendes Tiqets'!N34</f>
        <v>137.94</v>
      </c>
      <c r="P48" s="108">
        <f t="shared" si="20"/>
        <v>-0.7843238425817346</v>
      </c>
      <c r="Q48" s="303"/>
      <c r="R48" s="94">
        <f>'Vendes Tiqets'!N16</f>
        <v>34.22</v>
      </c>
      <c r="S48" s="108">
        <f t="shared" ref="S48" si="22">(R48-O48)/O48</f>
        <v>-0.75192112512686671</v>
      </c>
    </row>
    <row r="49" spans="2:18" x14ac:dyDescent="0.25">
      <c r="L49" s="186">
        <f>SUM(L44:L48)</f>
        <v>6974.3899999999994</v>
      </c>
      <c r="O49" s="186">
        <f>SUM(O44:O48)</f>
        <v>9925.9800000000014</v>
      </c>
      <c r="R49" s="186">
        <f>SUM(R44:R48)</f>
        <v>13114.539999999999</v>
      </c>
    </row>
    <row r="51" spans="2:18" x14ac:dyDescent="0.25">
      <c r="B51" s="369" t="s">
        <v>88</v>
      </c>
      <c r="L51" s="103">
        <f>L49/L25</f>
        <v>0.2064186880449301</v>
      </c>
      <c r="O51" s="103">
        <f>O49/O25</f>
        <v>0.18569772891182523</v>
      </c>
      <c r="R51" s="103">
        <f>R49/R25</f>
        <v>0.21488554465114484</v>
      </c>
    </row>
  </sheetData>
  <mergeCells count="16">
    <mergeCell ref="Q1:S1"/>
    <mergeCell ref="A26:P26"/>
    <mergeCell ref="A37:A39"/>
    <mergeCell ref="A27:A33"/>
    <mergeCell ref="C1:D1"/>
    <mergeCell ref="A1:B2"/>
    <mergeCell ref="A3:A4"/>
    <mergeCell ref="A7:A13"/>
    <mergeCell ref="E1:G1"/>
    <mergeCell ref="H1:J1"/>
    <mergeCell ref="K1:M1"/>
    <mergeCell ref="N1:P1"/>
    <mergeCell ref="A6:P6"/>
    <mergeCell ref="A15:P15"/>
    <mergeCell ref="A16:A24"/>
    <mergeCell ref="B35:P35"/>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4"/>
  <sheetViews>
    <sheetView tabSelected="1" workbookViewId="0">
      <pane xSplit="2" ySplit="2" topLeftCell="C3" activePane="bottomRight" state="frozenSplit"/>
      <selection pane="topRight" activeCell="C1" sqref="C1"/>
      <selection pane="bottomLeft" activeCell="A3" sqref="A3"/>
      <selection pane="bottomRight" activeCell="L27" sqref="L27"/>
    </sheetView>
  </sheetViews>
  <sheetFormatPr defaultColWidth="11.42578125" defaultRowHeight="15" x14ac:dyDescent="0.25"/>
  <cols>
    <col min="1" max="1" width="15.28515625" customWidth="1"/>
    <col min="2" max="2" width="20.28515625" bestFit="1" customWidth="1"/>
    <col min="3" max="4" width="11" customWidth="1"/>
    <col min="5" max="5" width="11" bestFit="1" customWidth="1"/>
    <col min="6" max="6" width="12" bestFit="1" customWidth="1"/>
    <col min="7" max="11" width="11" bestFit="1" customWidth="1"/>
    <col min="12" max="12" width="12" bestFit="1" customWidth="1"/>
    <col min="13" max="14" width="11" bestFit="1" customWidth="1"/>
    <col min="15" max="15" width="12" bestFit="1" customWidth="1"/>
    <col min="18" max="18" width="14" bestFit="1" customWidth="1"/>
  </cols>
  <sheetData>
    <row r="1" spans="1:19" ht="15.75" thickBot="1" x14ac:dyDescent="0.3">
      <c r="A1" s="406">
        <v>2023</v>
      </c>
      <c r="B1" s="407"/>
      <c r="C1" s="407"/>
      <c r="D1" s="407"/>
      <c r="E1" s="407"/>
      <c r="F1" s="407"/>
      <c r="G1" s="407"/>
      <c r="H1" s="407"/>
      <c r="I1" s="407"/>
      <c r="J1" s="407"/>
      <c r="K1" s="407"/>
      <c r="L1" s="407"/>
      <c r="M1" s="407"/>
      <c r="N1" s="407"/>
      <c r="O1" s="408"/>
    </row>
    <row r="2" spans="1:19" ht="15.75" thickBot="1" x14ac:dyDescent="0.3">
      <c r="A2" s="386"/>
      <c r="B2" s="387"/>
      <c r="C2" s="113" t="s">
        <v>37</v>
      </c>
      <c r="D2" s="113" t="s">
        <v>38</v>
      </c>
      <c r="E2" s="113" t="s">
        <v>39</v>
      </c>
      <c r="F2" s="113" t="s">
        <v>40</v>
      </c>
      <c r="G2" s="113" t="s">
        <v>41</v>
      </c>
      <c r="H2" s="113" t="s">
        <v>42</v>
      </c>
      <c r="I2" s="113" t="s">
        <v>43</v>
      </c>
      <c r="J2" s="113" t="s">
        <v>44</v>
      </c>
      <c r="K2" s="113" t="s">
        <v>36</v>
      </c>
      <c r="L2" s="113" t="s">
        <v>35</v>
      </c>
      <c r="M2" s="113" t="s">
        <v>33</v>
      </c>
      <c r="N2" s="113" t="s">
        <v>34</v>
      </c>
      <c r="O2" s="114" t="s">
        <v>49</v>
      </c>
      <c r="P2" s="412" t="s">
        <v>52</v>
      </c>
      <c r="Q2" s="413"/>
    </row>
    <row r="3" spans="1:19" x14ac:dyDescent="0.25">
      <c r="A3" s="383" t="s">
        <v>48</v>
      </c>
      <c r="B3" s="74" t="s">
        <v>47</v>
      </c>
      <c r="C3" s="312">
        <v>0</v>
      </c>
      <c r="D3" s="312">
        <v>0</v>
      </c>
      <c r="E3" s="312">
        <v>13</v>
      </c>
      <c r="F3" s="312">
        <v>7</v>
      </c>
      <c r="G3" s="312">
        <v>6</v>
      </c>
      <c r="H3" s="312">
        <v>8</v>
      </c>
      <c r="I3" s="312">
        <v>22</v>
      </c>
      <c r="J3" s="312">
        <v>19</v>
      </c>
      <c r="K3" s="312">
        <v>3</v>
      </c>
      <c r="L3" s="312">
        <v>2</v>
      </c>
      <c r="M3" s="312"/>
      <c r="N3" s="312"/>
      <c r="O3" s="88">
        <f>SUM(C3:N3)</f>
        <v>80</v>
      </c>
      <c r="P3" s="95">
        <f>O3/(O3+O4)</f>
        <v>1.7793594306049824E-2</v>
      </c>
      <c r="Q3">
        <f>SUM(H3:K3)</f>
        <v>52</v>
      </c>
    </row>
    <row r="4" spans="1:19" ht="15.75" thickBot="1" x14ac:dyDescent="0.3">
      <c r="A4" s="385"/>
      <c r="B4" s="76" t="s">
        <v>55</v>
      </c>
      <c r="C4" s="77">
        <v>263</v>
      </c>
      <c r="D4" s="77">
        <v>398</v>
      </c>
      <c r="E4" s="77">
        <v>434</v>
      </c>
      <c r="F4" s="77">
        <v>640</v>
      </c>
      <c r="G4" s="77">
        <v>429</v>
      </c>
      <c r="H4" s="77">
        <v>309</v>
      </c>
      <c r="I4" s="77">
        <v>270</v>
      </c>
      <c r="J4" s="77">
        <v>537</v>
      </c>
      <c r="K4" s="77">
        <v>367</v>
      </c>
      <c r="L4" s="77">
        <v>769</v>
      </c>
      <c r="M4" s="77"/>
      <c r="N4" s="77"/>
      <c r="O4" s="90">
        <f>SUM(C4:N4)</f>
        <v>4416</v>
      </c>
      <c r="P4" s="95">
        <f>O4/(O3+O4)</f>
        <v>0.98220640569395012</v>
      </c>
      <c r="Q4">
        <f t="shared" ref="Q4:Q5" si="0">SUM(H4:K4)</f>
        <v>1483</v>
      </c>
    </row>
    <row r="5" spans="1:19" ht="15.75" thickBot="1" x14ac:dyDescent="0.3">
      <c r="A5" s="310"/>
      <c r="B5" s="198"/>
      <c r="C5" s="205">
        <f>SUM(C3:C4)</f>
        <v>263</v>
      </c>
      <c r="D5" s="206">
        <f t="shared" ref="D5:N5" si="1">SUM(D3:D4)</f>
        <v>398</v>
      </c>
      <c r="E5" s="206">
        <f t="shared" si="1"/>
        <v>447</v>
      </c>
      <c r="F5" s="206">
        <f t="shared" si="1"/>
        <v>647</v>
      </c>
      <c r="G5" s="206">
        <f t="shared" si="1"/>
        <v>435</v>
      </c>
      <c r="H5" s="206">
        <f t="shared" si="1"/>
        <v>317</v>
      </c>
      <c r="I5" s="206">
        <f t="shared" si="1"/>
        <v>292</v>
      </c>
      <c r="J5" s="206">
        <f t="shared" si="1"/>
        <v>556</v>
      </c>
      <c r="K5" s="206">
        <f t="shared" si="1"/>
        <v>370</v>
      </c>
      <c r="L5" s="206">
        <f t="shared" si="1"/>
        <v>771</v>
      </c>
      <c r="M5" s="206">
        <f t="shared" si="1"/>
        <v>0</v>
      </c>
      <c r="N5" s="206">
        <f t="shared" si="1"/>
        <v>0</v>
      </c>
      <c r="O5" s="207">
        <f>SUM(O3:O4)</f>
        <v>4496</v>
      </c>
      <c r="P5" s="95"/>
      <c r="Q5">
        <f t="shared" si="0"/>
        <v>1535</v>
      </c>
    </row>
    <row r="6" spans="1:19" ht="15.75" thickBot="1" x14ac:dyDescent="0.3">
      <c r="A6" s="310"/>
      <c r="B6" s="198"/>
      <c r="C6" s="314"/>
      <c r="D6" s="314"/>
      <c r="E6" s="314"/>
      <c r="F6" s="314"/>
      <c r="G6" s="314"/>
      <c r="H6" s="314"/>
      <c r="I6" s="314"/>
      <c r="J6" s="314"/>
      <c r="K6" s="314"/>
      <c r="L6" s="314"/>
      <c r="M6" s="314"/>
      <c r="N6" s="314"/>
      <c r="O6" s="202"/>
      <c r="P6" s="95"/>
    </row>
    <row r="7" spans="1:19" ht="15.75" thickBot="1" x14ac:dyDescent="0.3">
      <c r="A7" s="381"/>
      <c r="B7" s="382"/>
      <c r="C7" s="307" t="s">
        <v>37</v>
      </c>
      <c r="D7" s="307" t="s">
        <v>38</v>
      </c>
      <c r="E7" s="307" t="s">
        <v>39</v>
      </c>
      <c r="F7" s="307" t="s">
        <v>40</v>
      </c>
      <c r="G7" s="307" t="s">
        <v>41</v>
      </c>
      <c r="H7" s="307" t="s">
        <v>42</v>
      </c>
      <c r="I7" s="307" t="s">
        <v>43</v>
      </c>
      <c r="J7" s="307" t="s">
        <v>44</v>
      </c>
      <c r="K7" s="307" t="s">
        <v>36</v>
      </c>
      <c r="L7" s="307" t="s">
        <v>35</v>
      </c>
      <c r="M7" s="307" t="s">
        <v>33</v>
      </c>
      <c r="N7" s="307" t="s">
        <v>34</v>
      </c>
      <c r="O7" s="308" t="s">
        <v>49</v>
      </c>
      <c r="P7" s="412" t="s">
        <v>52</v>
      </c>
      <c r="Q7" s="413"/>
      <c r="R7" s="115" t="s">
        <v>77</v>
      </c>
      <c r="S7" s="113" t="s">
        <v>31</v>
      </c>
    </row>
    <row r="8" spans="1:19" x14ac:dyDescent="0.25">
      <c r="A8" s="383" t="s">
        <v>30</v>
      </c>
      <c r="B8" s="125" t="s">
        <v>27</v>
      </c>
      <c r="C8" s="312">
        <v>280</v>
      </c>
      <c r="D8" s="312">
        <v>190</v>
      </c>
      <c r="E8" s="312">
        <v>244</v>
      </c>
      <c r="F8" s="312">
        <v>1147</v>
      </c>
      <c r="G8" s="312">
        <v>235</v>
      </c>
      <c r="H8" s="312">
        <v>154</v>
      </c>
      <c r="I8" s="312">
        <v>409</v>
      </c>
      <c r="J8" s="312">
        <v>889</v>
      </c>
      <c r="K8" s="312">
        <v>547</v>
      </c>
      <c r="L8" s="312">
        <v>399</v>
      </c>
      <c r="M8" s="312"/>
      <c r="N8" s="312"/>
      <c r="O8" s="88">
        <f t="shared" ref="O8:O14" si="2">SUM(C8:N8)</f>
        <v>4494</v>
      </c>
      <c r="P8" s="95">
        <f>O8/$O$45</f>
        <v>0.3157450994168482</v>
      </c>
      <c r="Q8">
        <f t="shared" ref="Q8:Q14" si="3">SUM(H8:K8)</f>
        <v>1999</v>
      </c>
      <c r="R8" s="79">
        <f>Q8/$Q$45</f>
        <v>0.48320038675368626</v>
      </c>
      <c r="S8" s="79">
        <f>R18/$R$57</f>
        <v>0.51927565903283668</v>
      </c>
    </row>
    <row r="9" spans="1:19" x14ac:dyDescent="0.25">
      <c r="A9" s="384"/>
      <c r="B9" s="126" t="s">
        <v>45</v>
      </c>
      <c r="C9" s="314">
        <v>160</v>
      </c>
      <c r="D9" s="314">
        <v>92</v>
      </c>
      <c r="E9" s="98">
        <v>118</v>
      </c>
      <c r="F9" s="98">
        <v>511</v>
      </c>
      <c r="G9" s="98">
        <v>103</v>
      </c>
      <c r="H9" s="314">
        <v>98</v>
      </c>
      <c r="I9" s="314">
        <v>65</v>
      </c>
      <c r="J9" s="314">
        <v>111</v>
      </c>
      <c r="K9" s="314">
        <v>119</v>
      </c>
      <c r="L9" s="314">
        <v>120</v>
      </c>
      <c r="M9" s="314"/>
      <c r="N9" s="314"/>
      <c r="O9" s="89">
        <f t="shared" si="2"/>
        <v>1497</v>
      </c>
      <c r="P9" s="95">
        <f t="shared" ref="P9:P13" si="4">O9/$O$45</f>
        <v>0.10517810721562566</v>
      </c>
      <c r="Q9">
        <f t="shared" si="3"/>
        <v>393</v>
      </c>
      <c r="R9" s="79">
        <f t="shared" ref="R9:R14" si="5">Q9/$Q$45</f>
        <v>9.4996374184191448E-2</v>
      </c>
      <c r="S9" s="79">
        <f>R19/$R$57</f>
        <v>0.19725816946785382</v>
      </c>
    </row>
    <row r="10" spans="1:19" x14ac:dyDescent="0.25">
      <c r="A10" s="384"/>
      <c r="B10" s="126" t="s">
        <v>28</v>
      </c>
      <c r="C10" s="314">
        <v>93</v>
      </c>
      <c r="D10" s="314">
        <v>67</v>
      </c>
      <c r="E10" s="314">
        <v>93</v>
      </c>
      <c r="F10" s="98">
        <v>133</v>
      </c>
      <c r="G10" s="98">
        <v>121</v>
      </c>
      <c r="H10" s="314">
        <v>110</v>
      </c>
      <c r="I10" s="314">
        <v>113</v>
      </c>
      <c r="J10" s="314">
        <v>337</v>
      </c>
      <c r="K10" s="314">
        <v>155</v>
      </c>
      <c r="L10" s="314">
        <f>158+33</f>
        <v>191</v>
      </c>
      <c r="M10" s="314"/>
      <c r="N10" s="194"/>
      <c r="O10" s="89">
        <f t="shared" si="2"/>
        <v>1413</v>
      </c>
      <c r="P10" s="95">
        <f t="shared" si="4"/>
        <v>9.9276329656432238E-2</v>
      </c>
      <c r="Q10">
        <f t="shared" si="3"/>
        <v>715</v>
      </c>
      <c r="R10" s="79">
        <f t="shared" si="5"/>
        <v>0.17283055354121343</v>
      </c>
      <c r="S10" s="79">
        <f>R20/$R$57</f>
        <v>0.17372375374946439</v>
      </c>
    </row>
    <row r="11" spans="1:19" x14ac:dyDescent="0.25">
      <c r="A11" s="384"/>
      <c r="B11" s="126" t="s">
        <v>29</v>
      </c>
      <c r="C11" s="314">
        <v>6</v>
      </c>
      <c r="D11" s="314">
        <v>71</v>
      </c>
      <c r="E11" s="314">
        <v>20</v>
      </c>
      <c r="F11" s="314">
        <v>58</v>
      </c>
      <c r="G11" s="98">
        <v>19</v>
      </c>
      <c r="H11" s="314">
        <v>3</v>
      </c>
      <c r="I11" s="314">
        <v>7</v>
      </c>
      <c r="J11" s="314">
        <v>18</v>
      </c>
      <c r="K11" s="314">
        <v>5</v>
      </c>
      <c r="L11" s="314">
        <v>142</v>
      </c>
      <c r="M11" s="314"/>
      <c r="N11" s="194"/>
      <c r="O11" s="89">
        <f t="shared" si="2"/>
        <v>349</v>
      </c>
      <c r="P11" s="95">
        <f t="shared" si="4"/>
        <v>2.4520480573315535E-2</v>
      </c>
      <c r="Q11">
        <f t="shared" si="3"/>
        <v>33</v>
      </c>
      <c r="R11" s="79">
        <f t="shared" si="5"/>
        <v>7.9767947788252358E-3</v>
      </c>
      <c r="S11" s="79">
        <f>R21/$R$57</f>
        <v>5.2690885429065694E-3</v>
      </c>
    </row>
    <row r="12" spans="1:19" x14ac:dyDescent="0.25">
      <c r="A12" s="384"/>
      <c r="B12" s="126" t="s">
        <v>75</v>
      </c>
      <c r="C12" s="314">
        <v>89</v>
      </c>
      <c r="D12" s="314">
        <v>32</v>
      </c>
      <c r="E12" s="314">
        <v>56</v>
      </c>
      <c r="F12" s="314">
        <v>153</v>
      </c>
      <c r="G12" s="98">
        <v>45</v>
      </c>
      <c r="H12" s="314">
        <v>98</v>
      </c>
      <c r="I12" s="314">
        <v>14</v>
      </c>
      <c r="J12" s="314">
        <v>69</v>
      </c>
      <c r="K12" s="314">
        <v>102</v>
      </c>
      <c r="L12" s="314">
        <v>75</v>
      </c>
      <c r="M12" s="314"/>
      <c r="N12" s="194"/>
      <c r="O12" s="89">
        <f t="shared" si="2"/>
        <v>733</v>
      </c>
      <c r="P12" s="95">
        <f t="shared" si="4"/>
        <v>5.1500035129628328E-2</v>
      </c>
      <c r="Q12">
        <f t="shared" si="3"/>
        <v>283</v>
      </c>
      <c r="R12" s="79">
        <f t="shared" si="5"/>
        <v>6.8407058254773986E-2</v>
      </c>
      <c r="S12" s="79">
        <f>R24/$R$57</f>
        <v>0.11163103683600757</v>
      </c>
    </row>
    <row r="13" spans="1:19" x14ac:dyDescent="0.25">
      <c r="A13" s="384"/>
      <c r="B13" s="126" t="s">
        <v>46</v>
      </c>
      <c r="C13" s="314">
        <v>251</v>
      </c>
      <c r="D13" s="314">
        <v>653</v>
      </c>
      <c r="E13" s="314">
        <v>432</v>
      </c>
      <c r="F13" s="314">
        <v>373</v>
      </c>
      <c r="G13" s="314">
        <v>311</v>
      </c>
      <c r="H13" s="314">
        <v>289</v>
      </c>
      <c r="I13" s="314">
        <v>59</v>
      </c>
      <c r="J13" s="314">
        <v>14</v>
      </c>
      <c r="K13" s="314">
        <v>478</v>
      </c>
      <c r="L13" s="314">
        <v>2402</v>
      </c>
      <c r="M13" s="314"/>
      <c r="N13" s="314"/>
      <c r="O13" s="89">
        <f t="shared" si="2"/>
        <v>5262</v>
      </c>
      <c r="P13" s="95">
        <f t="shared" si="4"/>
        <v>0.36970420852947378</v>
      </c>
      <c r="Q13">
        <f t="shared" si="3"/>
        <v>840</v>
      </c>
      <c r="R13" s="79">
        <f t="shared" si="5"/>
        <v>0.20304568527918782</v>
      </c>
      <c r="S13" s="79">
        <f>R22/$R$57</f>
        <v>0.19651160945261789</v>
      </c>
    </row>
    <row r="14" spans="1:19" ht="15.75" thickBot="1" x14ac:dyDescent="0.3">
      <c r="A14" s="385"/>
      <c r="B14" s="127" t="s">
        <v>63</v>
      </c>
      <c r="C14" s="314">
        <v>4</v>
      </c>
      <c r="D14" s="314">
        <v>0</v>
      </c>
      <c r="E14" s="314">
        <v>2</v>
      </c>
      <c r="F14" s="314">
        <v>0</v>
      </c>
      <c r="G14" s="314">
        <v>0</v>
      </c>
      <c r="H14" s="314">
        <v>2</v>
      </c>
      <c r="I14" s="314">
        <v>0</v>
      </c>
      <c r="J14" s="314">
        <v>0</v>
      </c>
      <c r="K14" s="314">
        <v>0</v>
      </c>
      <c r="L14" s="314">
        <v>22</v>
      </c>
      <c r="M14" s="314"/>
      <c r="N14" s="314"/>
      <c r="O14" s="89">
        <f t="shared" si="2"/>
        <v>30</v>
      </c>
      <c r="P14" s="95">
        <f>O14/$O$45</f>
        <v>2.1077776997119372E-3</v>
      </c>
      <c r="Q14">
        <f t="shared" si="3"/>
        <v>2</v>
      </c>
      <c r="R14" s="79">
        <f t="shared" si="5"/>
        <v>4.8344210780759005E-4</v>
      </c>
      <c r="S14" s="79">
        <f>R23/$R$57</f>
        <v>6.1959402625021826E-4</v>
      </c>
    </row>
    <row r="15" spans="1:19" ht="15.75" thickBot="1" x14ac:dyDescent="0.3">
      <c r="A15" s="199"/>
      <c r="B15" s="200"/>
      <c r="C15" s="205">
        <f t="shared" ref="C15:O15" si="6">SUM(C8:C14)</f>
        <v>883</v>
      </c>
      <c r="D15" s="206">
        <f t="shared" si="6"/>
        <v>1105</v>
      </c>
      <c r="E15" s="206">
        <f t="shared" si="6"/>
        <v>965</v>
      </c>
      <c r="F15" s="206">
        <f t="shared" si="6"/>
        <v>2375</v>
      </c>
      <c r="G15" s="206">
        <f t="shared" si="6"/>
        <v>834</v>
      </c>
      <c r="H15" s="206">
        <f t="shared" si="6"/>
        <v>754</v>
      </c>
      <c r="I15" s="206">
        <f t="shared" si="6"/>
        <v>667</v>
      </c>
      <c r="J15" s="206">
        <f t="shared" si="6"/>
        <v>1438</v>
      </c>
      <c r="K15" s="206">
        <f t="shared" si="6"/>
        <v>1406</v>
      </c>
      <c r="L15" s="206">
        <f t="shared" si="6"/>
        <v>3351</v>
      </c>
      <c r="M15" s="206">
        <f t="shared" si="6"/>
        <v>0</v>
      </c>
      <c r="N15" s="206">
        <f t="shared" si="6"/>
        <v>0</v>
      </c>
      <c r="O15" s="207">
        <f t="shared" si="6"/>
        <v>13778</v>
      </c>
      <c r="P15" s="95">
        <f>SUM(P8:P14)</f>
        <v>0.96803203822103556</v>
      </c>
      <c r="Q15">
        <f>SUM(H15:K15)</f>
        <v>4265</v>
      </c>
      <c r="R15" s="185"/>
      <c r="S15" s="87">
        <f>SUM(S8:S14)</f>
        <v>1.2042889111079369</v>
      </c>
    </row>
    <row r="16" spans="1:19" ht="15.75" thickBot="1" x14ac:dyDescent="0.3">
      <c r="A16" s="199"/>
      <c r="B16" s="200"/>
      <c r="C16" s="219"/>
      <c r="D16" s="219"/>
      <c r="E16" s="219"/>
      <c r="F16" s="219"/>
      <c r="G16" s="219"/>
      <c r="H16" s="219"/>
      <c r="I16" s="219"/>
      <c r="J16" s="219"/>
      <c r="K16" s="219"/>
      <c r="L16" s="219"/>
      <c r="M16" s="219"/>
      <c r="N16" s="219"/>
      <c r="O16" s="257"/>
      <c r="P16" s="95"/>
      <c r="R16" s="185"/>
    </row>
    <row r="17" spans="1:19" ht="15.75" thickBot="1" x14ac:dyDescent="0.3">
      <c r="A17" s="381"/>
      <c r="B17" s="382"/>
      <c r="C17" s="307" t="s">
        <v>37</v>
      </c>
      <c r="D17" s="307" t="s">
        <v>38</v>
      </c>
      <c r="E17" s="307" t="s">
        <v>39</v>
      </c>
      <c r="F17" s="307" t="s">
        <v>40</v>
      </c>
      <c r="G17" s="307" t="s">
        <v>41</v>
      </c>
      <c r="H17" s="307" t="s">
        <v>42</v>
      </c>
      <c r="I17" s="307" t="s">
        <v>43</v>
      </c>
      <c r="J17" s="307" t="s">
        <v>44</v>
      </c>
      <c r="K17" s="307" t="s">
        <v>36</v>
      </c>
      <c r="L17" s="307" t="s">
        <v>35</v>
      </c>
      <c r="M17" s="307" t="s">
        <v>33</v>
      </c>
      <c r="N17" s="307" t="s">
        <v>34</v>
      </c>
      <c r="O17" s="308" t="s">
        <v>49</v>
      </c>
      <c r="P17" s="315" t="s">
        <v>51</v>
      </c>
      <c r="Q17" s="315" t="s">
        <v>16</v>
      </c>
    </row>
    <row r="18" spans="1:19" x14ac:dyDescent="0.25">
      <c r="A18" s="383" t="s">
        <v>31</v>
      </c>
      <c r="B18" s="73" t="s">
        <v>27</v>
      </c>
      <c r="C18" s="268">
        <v>1131.32</v>
      </c>
      <c r="D18" s="268">
        <v>775</v>
      </c>
      <c r="E18" s="268">
        <v>1010.42</v>
      </c>
      <c r="F18" s="268">
        <v>4507</v>
      </c>
      <c r="G18" s="269">
        <v>967</v>
      </c>
      <c r="H18" s="268">
        <v>667</v>
      </c>
      <c r="I18" s="268">
        <v>1769.65</v>
      </c>
      <c r="J18" s="268">
        <v>3662.12</v>
      </c>
      <c r="K18" s="268">
        <v>2080.9899999999998</v>
      </c>
      <c r="L18" s="268">
        <v>1746.4</v>
      </c>
      <c r="M18" s="268"/>
      <c r="N18" s="268"/>
      <c r="O18" s="352">
        <f t="shared" ref="O18" si="7">SUM(C18:N18)</f>
        <v>18316.900000000001</v>
      </c>
      <c r="P18" s="79">
        <f>O18/$O$57</f>
        <v>0.34267716947898458</v>
      </c>
      <c r="Q18" s="80">
        <f>O18/O8</f>
        <v>4.0758566978193151</v>
      </c>
      <c r="R18" s="240">
        <f>SUM(H18:K18)</f>
        <v>8179.76</v>
      </c>
    </row>
    <row r="19" spans="1:19" x14ac:dyDescent="0.25">
      <c r="A19" s="384"/>
      <c r="B19" s="71" t="s">
        <v>45</v>
      </c>
      <c r="C19" s="243">
        <v>904.42</v>
      </c>
      <c r="D19" s="243">
        <v>735.7</v>
      </c>
      <c r="E19" s="243">
        <v>683</v>
      </c>
      <c r="F19" s="243">
        <v>4203</v>
      </c>
      <c r="G19" s="269">
        <v>886</v>
      </c>
      <c r="H19" s="243">
        <v>1026</v>
      </c>
      <c r="I19" s="243">
        <v>372</v>
      </c>
      <c r="J19" s="243">
        <v>1074</v>
      </c>
      <c r="K19" s="243">
        <v>635.26</v>
      </c>
      <c r="L19" s="243">
        <v>650.02</v>
      </c>
      <c r="M19" s="243"/>
      <c r="N19" s="243"/>
      <c r="O19" s="353">
        <f>SUM(C19:N19)</f>
        <v>11169.4</v>
      </c>
      <c r="P19" s="79">
        <f t="shared" ref="P19:P26" si="8">O19/$O$57</f>
        <v>0.20895994282758382</v>
      </c>
      <c r="Q19" s="80">
        <f>O19/O9</f>
        <v>7.4611890447561784</v>
      </c>
      <c r="R19" s="240">
        <f t="shared" ref="R19:R22" si="9">SUM(H19:K19)</f>
        <v>3107.26</v>
      </c>
    </row>
    <row r="20" spans="1:19" x14ac:dyDescent="0.25">
      <c r="A20" s="384"/>
      <c r="B20" s="71" t="s">
        <v>28</v>
      </c>
      <c r="C20" s="269">
        <v>403.02</v>
      </c>
      <c r="D20" s="269">
        <v>243.11</v>
      </c>
      <c r="E20" s="269">
        <v>344.56</v>
      </c>
      <c r="F20" s="269">
        <v>462.29</v>
      </c>
      <c r="G20" s="269">
        <v>442.26</v>
      </c>
      <c r="H20" s="269">
        <v>409.23</v>
      </c>
      <c r="I20" s="269">
        <v>434.98</v>
      </c>
      <c r="J20" s="269">
        <v>1385.58</v>
      </c>
      <c r="K20" s="269">
        <v>506.75</v>
      </c>
      <c r="L20" s="269">
        <f>630+115.95</f>
        <v>745.95</v>
      </c>
      <c r="M20" s="269"/>
      <c r="N20" s="269"/>
      <c r="O20" s="353">
        <f t="shared" ref="O20" si="10">SUM(C20:N20)</f>
        <v>5377.7300000000005</v>
      </c>
      <c r="P20" s="79">
        <f t="shared" si="8"/>
        <v>0.1006079246281969</v>
      </c>
      <c r="Q20" s="80">
        <f>O20/O10</f>
        <v>3.8058952583156409</v>
      </c>
      <c r="R20" s="240">
        <f t="shared" si="9"/>
        <v>2736.54</v>
      </c>
    </row>
    <row r="21" spans="1:19" x14ac:dyDescent="0.25">
      <c r="A21" s="384"/>
      <c r="B21" s="71" t="s">
        <v>29</v>
      </c>
      <c r="C21" s="269">
        <v>12</v>
      </c>
      <c r="D21" s="269">
        <v>149</v>
      </c>
      <c r="E21" s="269">
        <v>48</v>
      </c>
      <c r="F21" s="269">
        <v>119</v>
      </c>
      <c r="G21" s="269">
        <v>44</v>
      </c>
      <c r="H21" s="269">
        <v>7</v>
      </c>
      <c r="I21" s="269">
        <v>21</v>
      </c>
      <c r="J21" s="269">
        <v>42</v>
      </c>
      <c r="K21" s="269">
        <v>13</v>
      </c>
      <c r="L21" s="269">
        <v>310</v>
      </c>
      <c r="M21" s="269"/>
      <c r="N21" s="269"/>
      <c r="O21" s="353">
        <f>SUM(C21:N21)</f>
        <v>765</v>
      </c>
      <c r="P21" s="79">
        <f t="shared" si="8"/>
        <v>1.4311812296372376E-2</v>
      </c>
      <c r="Q21" s="80">
        <f>O21/O11</f>
        <v>2.1919770773638967</v>
      </c>
      <c r="R21" s="240">
        <f t="shared" si="9"/>
        <v>83</v>
      </c>
    </row>
    <row r="22" spans="1:19" x14ac:dyDescent="0.25">
      <c r="A22" s="384"/>
      <c r="B22" s="71" t="s">
        <v>46</v>
      </c>
      <c r="C22" s="269">
        <v>448</v>
      </c>
      <c r="D22" s="269">
        <v>3440</v>
      </c>
      <c r="E22" s="269">
        <v>2372</v>
      </c>
      <c r="F22" s="269">
        <v>1470</v>
      </c>
      <c r="G22" s="243">
        <v>1806.5</v>
      </c>
      <c r="H22" s="269">
        <v>1034</v>
      </c>
      <c r="I22" s="269">
        <v>236</v>
      </c>
      <c r="J22" s="269">
        <v>90</v>
      </c>
      <c r="K22" s="269">
        <v>1735.5</v>
      </c>
      <c r="L22" s="269">
        <v>6777.5</v>
      </c>
      <c r="M22" s="269"/>
      <c r="N22" s="269"/>
      <c r="O22" s="353">
        <f t="shared" ref="O22:O26" si="11">SUM(C22:N22)</f>
        <v>19409.5</v>
      </c>
      <c r="P22" s="79">
        <f t="shared" si="8"/>
        <v>0.36311780492345053</v>
      </c>
      <c r="Q22" s="80">
        <f>O22/O13</f>
        <v>3.6886164956290384</v>
      </c>
      <c r="R22" s="240">
        <f t="shared" si="9"/>
        <v>3095.5</v>
      </c>
    </row>
    <row r="23" spans="1:19" x14ac:dyDescent="0.25">
      <c r="A23" s="384"/>
      <c r="B23" s="71" t="s">
        <v>63</v>
      </c>
      <c r="C23" s="269">
        <v>24.46</v>
      </c>
      <c r="D23" s="269">
        <v>0</v>
      </c>
      <c r="E23" s="269">
        <v>14</v>
      </c>
      <c r="F23" s="269">
        <v>0</v>
      </c>
      <c r="G23" s="269">
        <v>0</v>
      </c>
      <c r="H23" s="269">
        <v>9.76</v>
      </c>
      <c r="I23" s="269">
        <v>0</v>
      </c>
      <c r="J23" s="269">
        <v>0</v>
      </c>
      <c r="K23" s="269">
        <v>0</v>
      </c>
      <c r="L23" s="269">
        <v>0</v>
      </c>
      <c r="M23" s="269"/>
      <c r="N23" s="269"/>
      <c r="O23" s="353">
        <f t="shared" si="11"/>
        <v>48.22</v>
      </c>
      <c r="P23" s="79">
        <f t="shared" si="8"/>
        <v>9.0211188095565492E-4</v>
      </c>
      <c r="Q23" s="80">
        <f>O23/O14</f>
        <v>1.6073333333333333</v>
      </c>
      <c r="R23" s="240">
        <f>SUM(H23:K23)</f>
        <v>9.76</v>
      </c>
    </row>
    <row r="24" spans="1:19" x14ac:dyDescent="0.25">
      <c r="A24" s="384"/>
      <c r="B24" s="71" t="s">
        <v>75</v>
      </c>
      <c r="C24" s="269">
        <v>654.72</v>
      </c>
      <c r="D24" s="269">
        <v>254</v>
      </c>
      <c r="E24" s="269">
        <v>336</v>
      </c>
      <c r="F24" s="269">
        <v>1136</v>
      </c>
      <c r="G24" s="269">
        <v>256</v>
      </c>
      <c r="H24" s="269">
        <v>467</v>
      </c>
      <c r="I24" s="269">
        <v>94</v>
      </c>
      <c r="J24" s="269">
        <v>466</v>
      </c>
      <c r="K24" s="269">
        <v>731.44</v>
      </c>
      <c r="L24" s="269">
        <v>510.2</v>
      </c>
      <c r="M24" s="269"/>
      <c r="N24" s="269"/>
      <c r="O24" s="353">
        <f t="shared" si="11"/>
        <v>4905.3599999999997</v>
      </c>
      <c r="P24" s="79">
        <f t="shared" si="8"/>
        <v>9.1770707929585874E-2</v>
      </c>
      <c r="Q24" s="80">
        <f>O24/O12</f>
        <v>6.6921691678035469</v>
      </c>
      <c r="R24" s="240">
        <f t="shared" ref="R24:R25" si="12">SUM(H24:K24)</f>
        <v>1758.44</v>
      </c>
    </row>
    <row r="25" spans="1:19" x14ac:dyDescent="0.25">
      <c r="A25" s="384"/>
      <c r="B25" s="71" t="s">
        <v>53</v>
      </c>
      <c r="C25" s="269">
        <v>10</v>
      </c>
      <c r="D25" s="269">
        <v>30</v>
      </c>
      <c r="E25" s="269">
        <v>17.600000000000001</v>
      </c>
      <c r="F25" s="269">
        <v>6</v>
      </c>
      <c r="G25" s="269">
        <v>30</v>
      </c>
      <c r="H25" s="269">
        <v>31</v>
      </c>
      <c r="I25" s="269">
        <f>32+13</f>
        <v>45</v>
      </c>
      <c r="J25" s="269">
        <v>206.9</v>
      </c>
      <c r="K25" s="269">
        <f>35+34.8</f>
        <v>69.8</v>
      </c>
      <c r="L25" s="269">
        <v>40.299999999999997</v>
      </c>
      <c r="M25" s="269"/>
      <c r="N25" s="269"/>
      <c r="O25" s="353">
        <f t="shared" si="11"/>
        <v>486.6</v>
      </c>
      <c r="P25" s="79">
        <f t="shared" si="8"/>
        <v>9.1034351155749003E-3</v>
      </c>
      <c r="R25" s="240">
        <f t="shared" si="12"/>
        <v>352.7</v>
      </c>
      <c r="S25" s="79"/>
    </row>
    <row r="26" spans="1:19" ht="15.75" thickBot="1" x14ac:dyDescent="0.3">
      <c r="A26" s="385"/>
      <c r="B26" s="72" t="s">
        <v>50</v>
      </c>
      <c r="C26" s="269">
        <v>134.13999999999999</v>
      </c>
      <c r="D26" s="269">
        <v>60</v>
      </c>
      <c r="E26" s="269">
        <v>24.5</v>
      </c>
      <c r="F26" s="269">
        <v>35.6</v>
      </c>
      <c r="G26" s="269">
        <v>28.5</v>
      </c>
      <c r="H26" s="269">
        <v>86.2</v>
      </c>
      <c r="I26" s="269">
        <v>41</v>
      </c>
      <c r="J26" s="269">
        <v>67.099999999999994</v>
      </c>
      <c r="K26" s="269">
        <v>56.6</v>
      </c>
      <c r="L26" s="269">
        <v>18</v>
      </c>
      <c r="M26" s="269"/>
      <c r="N26" s="269"/>
      <c r="O26" s="353">
        <f t="shared" si="11"/>
        <v>551.64</v>
      </c>
      <c r="P26" s="79">
        <f t="shared" si="8"/>
        <v>1.0320219784537069E-2</v>
      </c>
      <c r="R26" s="240"/>
      <c r="S26" s="79"/>
    </row>
    <row r="27" spans="1:19" ht="15.75" thickBot="1" x14ac:dyDescent="0.3">
      <c r="B27" s="200"/>
      <c r="C27" s="204">
        <f t="shared" ref="C27:O27" si="13">SUM(C18:C26)</f>
        <v>3722.0799999999995</v>
      </c>
      <c r="D27" s="208">
        <f t="shared" si="13"/>
        <v>5686.8099999999995</v>
      </c>
      <c r="E27" s="208">
        <f t="shared" si="13"/>
        <v>4850.08</v>
      </c>
      <c r="F27" s="208">
        <f t="shared" si="13"/>
        <v>11938.890000000001</v>
      </c>
      <c r="G27" s="208">
        <f t="shared" si="13"/>
        <v>4460.26</v>
      </c>
      <c r="H27" s="208">
        <f t="shared" si="13"/>
        <v>3737.19</v>
      </c>
      <c r="I27" s="208">
        <f t="shared" si="13"/>
        <v>3013.63</v>
      </c>
      <c r="J27" s="208">
        <f t="shared" si="13"/>
        <v>6993.7</v>
      </c>
      <c r="K27" s="208">
        <f t="shared" si="13"/>
        <v>5829.3400000000011</v>
      </c>
      <c r="L27" s="208">
        <f t="shared" si="13"/>
        <v>10798.369999999999</v>
      </c>
      <c r="M27" s="208">
        <f t="shared" si="13"/>
        <v>0</v>
      </c>
      <c r="N27" s="208">
        <f t="shared" si="13"/>
        <v>0</v>
      </c>
      <c r="O27" s="209">
        <f t="shared" si="13"/>
        <v>61030.350000000006</v>
      </c>
      <c r="P27" s="79"/>
      <c r="R27" s="240">
        <f>SUM(R18:R26)</f>
        <v>19322.96</v>
      </c>
      <c r="S27" s="87"/>
    </row>
    <row r="30" spans="1:19" ht="15.75" thickBot="1" x14ac:dyDescent="0.3"/>
    <row r="31" spans="1:19" ht="15.75" thickBot="1" x14ac:dyDescent="0.3">
      <c r="A31" s="406">
        <v>2022</v>
      </c>
      <c r="B31" s="407"/>
      <c r="C31" s="407"/>
      <c r="D31" s="407"/>
      <c r="E31" s="407"/>
      <c r="F31" s="407"/>
      <c r="G31" s="407"/>
      <c r="H31" s="407"/>
      <c r="I31" s="407"/>
      <c r="J31" s="407"/>
      <c r="K31" s="407"/>
      <c r="L31" s="407"/>
      <c r="M31" s="407"/>
      <c r="N31" s="407"/>
      <c r="O31" s="408"/>
    </row>
    <row r="32" spans="1:19" ht="15.75" thickBot="1" x14ac:dyDescent="0.3">
      <c r="A32" s="386"/>
      <c r="B32" s="387"/>
      <c r="C32" s="113" t="s">
        <v>37</v>
      </c>
      <c r="D32" s="113" t="s">
        <v>38</v>
      </c>
      <c r="E32" s="113" t="s">
        <v>39</v>
      </c>
      <c r="F32" s="113" t="s">
        <v>40</v>
      </c>
      <c r="G32" s="113" t="s">
        <v>41</v>
      </c>
      <c r="H32" s="113" t="s">
        <v>42</v>
      </c>
      <c r="I32" s="113" t="s">
        <v>43</v>
      </c>
      <c r="J32" s="113" t="s">
        <v>44</v>
      </c>
      <c r="K32" s="113" t="s">
        <v>36</v>
      </c>
      <c r="L32" s="113" t="s">
        <v>35</v>
      </c>
      <c r="M32" s="113" t="s">
        <v>33</v>
      </c>
      <c r="N32" s="113" t="s">
        <v>34</v>
      </c>
      <c r="O32" s="114" t="s">
        <v>49</v>
      </c>
      <c r="P32" s="412" t="s">
        <v>52</v>
      </c>
      <c r="Q32" s="413"/>
    </row>
    <row r="33" spans="1:19" x14ac:dyDescent="0.25">
      <c r="A33" s="383" t="s">
        <v>48</v>
      </c>
      <c r="B33" s="74" t="s">
        <v>47</v>
      </c>
      <c r="C33" s="251">
        <v>0</v>
      </c>
      <c r="D33" s="251">
        <v>5</v>
      </c>
      <c r="E33" s="251">
        <v>5</v>
      </c>
      <c r="F33" s="251">
        <v>25</v>
      </c>
      <c r="G33" s="264">
        <v>0</v>
      </c>
      <c r="H33" s="251">
        <v>11</v>
      </c>
      <c r="I33" s="251">
        <v>16</v>
      </c>
      <c r="J33" s="251">
        <v>11</v>
      </c>
      <c r="K33" s="251">
        <v>11</v>
      </c>
      <c r="L33" s="251">
        <v>0</v>
      </c>
      <c r="M33" s="251">
        <v>0</v>
      </c>
      <c r="N33" s="251">
        <v>3</v>
      </c>
      <c r="O33" s="88">
        <f>SUM(C33:N33)</f>
        <v>87</v>
      </c>
      <c r="P33" s="95">
        <f>O33/(O33+O34)</f>
        <v>1.922227132125497E-2</v>
      </c>
      <c r="Q33">
        <f>SUM(H33:K33)</f>
        <v>49</v>
      </c>
    </row>
    <row r="34" spans="1:19" ht="15.75" thickBot="1" x14ac:dyDescent="0.3">
      <c r="A34" s="385"/>
      <c r="B34" s="76" t="s">
        <v>55</v>
      </c>
      <c r="C34" s="77">
        <v>308</v>
      </c>
      <c r="D34" s="77">
        <v>358</v>
      </c>
      <c r="E34" s="77">
        <v>320</v>
      </c>
      <c r="F34" s="77">
        <v>657</v>
      </c>
      <c r="G34" s="77">
        <v>367</v>
      </c>
      <c r="H34" s="77">
        <v>304</v>
      </c>
      <c r="I34" s="77">
        <v>297</v>
      </c>
      <c r="J34" s="77">
        <v>588</v>
      </c>
      <c r="K34" s="77">
        <v>469</v>
      </c>
      <c r="L34" s="77">
        <v>558</v>
      </c>
      <c r="M34" s="77">
        <v>34</v>
      </c>
      <c r="N34" s="77">
        <v>179</v>
      </c>
      <c r="O34" s="90">
        <f>SUM(C34:N34)</f>
        <v>4439</v>
      </c>
      <c r="P34" s="95">
        <f>O34/(O33+O34)</f>
        <v>0.98077772867874502</v>
      </c>
      <c r="Q34">
        <f t="shared" ref="Q34:Q35" si="14">SUM(H34:K34)</f>
        <v>1658</v>
      </c>
    </row>
    <row r="35" spans="1:19" ht="15.75" thickBot="1" x14ac:dyDescent="0.3">
      <c r="A35" s="249"/>
      <c r="B35" s="198"/>
      <c r="C35" s="205">
        <f>SUM(C33:C34)</f>
        <v>308</v>
      </c>
      <c r="D35" s="206">
        <f t="shared" ref="D35:N35" si="15">SUM(D33:D34)</f>
        <v>363</v>
      </c>
      <c r="E35" s="206">
        <f t="shared" si="15"/>
        <v>325</v>
      </c>
      <c r="F35" s="206">
        <f t="shared" si="15"/>
        <v>682</v>
      </c>
      <c r="G35" s="206">
        <f t="shared" si="15"/>
        <v>367</v>
      </c>
      <c r="H35" s="206">
        <f t="shared" si="15"/>
        <v>315</v>
      </c>
      <c r="I35" s="206">
        <f t="shared" si="15"/>
        <v>313</v>
      </c>
      <c r="J35" s="206">
        <f t="shared" si="15"/>
        <v>599</v>
      </c>
      <c r="K35" s="206">
        <f t="shared" si="15"/>
        <v>480</v>
      </c>
      <c r="L35" s="206">
        <f t="shared" si="15"/>
        <v>558</v>
      </c>
      <c r="M35" s="206">
        <f t="shared" si="15"/>
        <v>34</v>
      </c>
      <c r="N35" s="206">
        <f t="shared" si="15"/>
        <v>182</v>
      </c>
      <c r="O35" s="207">
        <f>SUM(O33:O34)</f>
        <v>4526</v>
      </c>
      <c r="P35" s="95"/>
      <c r="Q35">
        <f t="shared" si="14"/>
        <v>1707</v>
      </c>
    </row>
    <row r="36" spans="1:19" ht="15.75" thickBot="1" x14ac:dyDescent="0.3">
      <c r="A36" s="249"/>
      <c r="B36" s="198"/>
      <c r="C36" s="253"/>
      <c r="D36" s="253"/>
      <c r="E36" s="253"/>
      <c r="F36" s="253"/>
      <c r="G36" s="253"/>
      <c r="H36" s="253"/>
      <c r="I36" s="253"/>
      <c r="J36" s="253"/>
      <c r="K36" s="253"/>
      <c r="L36" s="253"/>
      <c r="M36" s="253"/>
      <c r="N36" s="253"/>
      <c r="O36" s="202"/>
      <c r="P36" s="95"/>
    </row>
    <row r="37" spans="1:19" ht="15.75" thickBot="1" x14ac:dyDescent="0.3">
      <c r="A37" s="381"/>
      <c r="B37" s="382"/>
      <c r="C37" s="246" t="s">
        <v>37</v>
      </c>
      <c r="D37" s="246" t="s">
        <v>38</v>
      </c>
      <c r="E37" s="246" t="s">
        <v>39</v>
      </c>
      <c r="F37" s="246" t="s">
        <v>40</v>
      </c>
      <c r="G37" s="246" t="s">
        <v>41</v>
      </c>
      <c r="H37" s="246" t="s">
        <v>42</v>
      </c>
      <c r="I37" s="246" t="s">
        <v>43</v>
      </c>
      <c r="J37" s="246" t="s">
        <v>44</v>
      </c>
      <c r="K37" s="246" t="s">
        <v>36</v>
      </c>
      <c r="L37" s="246" t="s">
        <v>35</v>
      </c>
      <c r="M37" s="246" t="s">
        <v>33</v>
      </c>
      <c r="N37" s="246" t="s">
        <v>34</v>
      </c>
      <c r="O37" s="247" t="s">
        <v>49</v>
      </c>
      <c r="P37" s="412" t="s">
        <v>52</v>
      </c>
      <c r="Q37" s="413"/>
      <c r="R37" s="115" t="s">
        <v>77</v>
      </c>
      <c r="S37" s="113" t="s">
        <v>31</v>
      </c>
    </row>
    <row r="38" spans="1:19" x14ac:dyDescent="0.25">
      <c r="A38" s="383" t="s">
        <v>30</v>
      </c>
      <c r="B38" s="125" t="s">
        <v>27</v>
      </c>
      <c r="C38" s="251">
        <v>405</v>
      </c>
      <c r="D38" s="251">
        <v>333</v>
      </c>
      <c r="E38" s="251">
        <v>159</v>
      </c>
      <c r="F38" s="251">
        <v>1214</v>
      </c>
      <c r="G38" s="262">
        <v>239</v>
      </c>
      <c r="H38" s="251">
        <v>256</v>
      </c>
      <c r="I38" s="251">
        <v>440</v>
      </c>
      <c r="J38" s="251">
        <v>836</v>
      </c>
      <c r="K38" s="251">
        <v>679</v>
      </c>
      <c r="L38" s="251">
        <v>696</v>
      </c>
      <c r="M38" s="251">
        <v>308</v>
      </c>
      <c r="N38" s="251">
        <v>311</v>
      </c>
      <c r="O38" s="88">
        <f t="shared" ref="O38:O44" si="16">SUM(C38:N38)</f>
        <v>5876</v>
      </c>
      <c r="P38" s="95">
        <f>O38/$O$45</f>
        <v>0.4128433921169114</v>
      </c>
      <c r="Q38">
        <f t="shared" ref="Q38:Q44" si="17">SUM(H38:K38)</f>
        <v>2211</v>
      </c>
      <c r="R38" s="79">
        <f>Q38/$Q$45</f>
        <v>0.53444525018129074</v>
      </c>
      <c r="S38" s="79">
        <f>R48/$R$57</f>
        <v>0.44654700122204771</v>
      </c>
    </row>
    <row r="39" spans="1:19" x14ac:dyDescent="0.25">
      <c r="A39" s="384"/>
      <c r="B39" s="126" t="s">
        <v>45</v>
      </c>
      <c r="C39" s="253">
        <v>157</v>
      </c>
      <c r="D39" s="253">
        <v>150</v>
      </c>
      <c r="E39" s="98">
        <v>72</v>
      </c>
      <c r="F39" s="98">
        <v>495</v>
      </c>
      <c r="G39" s="98">
        <v>106</v>
      </c>
      <c r="H39" s="253">
        <v>65</v>
      </c>
      <c r="I39" s="253">
        <v>74</v>
      </c>
      <c r="J39" s="253">
        <v>80</v>
      </c>
      <c r="K39" s="253">
        <v>102</v>
      </c>
      <c r="L39" s="253">
        <v>148</v>
      </c>
      <c r="M39" s="253">
        <v>127</v>
      </c>
      <c r="N39" s="253">
        <v>106</v>
      </c>
      <c r="O39" s="89">
        <f t="shared" si="16"/>
        <v>1682</v>
      </c>
      <c r="P39" s="95">
        <f t="shared" ref="P39:P43" si="18">O39/$O$45</f>
        <v>0.1181760696971826</v>
      </c>
      <c r="Q39">
        <f t="shared" si="17"/>
        <v>321</v>
      </c>
      <c r="R39" s="79">
        <f t="shared" ref="R39:R44" si="19">Q39/$Q$45</f>
        <v>7.75924583031182E-2</v>
      </c>
      <c r="S39" s="79">
        <f>R49/$R$57</f>
        <v>0.1644806297513054</v>
      </c>
    </row>
    <row r="40" spans="1:19" x14ac:dyDescent="0.25">
      <c r="A40" s="384"/>
      <c r="B40" s="126" t="s">
        <v>28</v>
      </c>
      <c r="C40" s="253">
        <v>130</v>
      </c>
      <c r="D40" s="253">
        <v>136</v>
      </c>
      <c r="E40" s="253">
        <v>68</v>
      </c>
      <c r="F40" s="98">
        <v>123</v>
      </c>
      <c r="G40" s="98">
        <v>136</v>
      </c>
      <c r="H40" s="253">
        <v>64</v>
      </c>
      <c r="I40" s="253">
        <v>126</v>
      </c>
      <c r="J40" s="253">
        <v>282</v>
      </c>
      <c r="K40" s="253">
        <v>114</v>
      </c>
      <c r="L40" s="253">
        <v>203</v>
      </c>
      <c r="M40" s="305">
        <v>142</v>
      </c>
      <c r="N40" s="194">
        <f>72+12</f>
        <v>84</v>
      </c>
      <c r="O40" s="89">
        <f t="shared" si="16"/>
        <v>1608</v>
      </c>
      <c r="P40" s="95">
        <f t="shared" si="18"/>
        <v>0.11297688470455983</v>
      </c>
      <c r="Q40">
        <f t="shared" si="17"/>
        <v>586</v>
      </c>
      <c r="R40" s="79">
        <f t="shared" si="19"/>
        <v>0.14164853758762389</v>
      </c>
      <c r="S40" s="79">
        <f>R50/$R$57</f>
        <v>9.7827929343427128E-2</v>
      </c>
    </row>
    <row r="41" spans="1:19" x14ac:dyDescent="0.25">
      <c r="A41" s="384"/>
      <c r="B41" s="126" t="s">
        <v>29</v>
      </c>
      <c r="C41" s="253">
        <v>4</v>
      </c>
      <c r="D41" s="253">
        <v>0</v>
      </c>
      <c r="E41" s="253">
        <v>23</v>
      </c>
      <c r="F41" s="253">
        <v>8</v>
      </c>
      <c r="G41" s="98">
        <v>0</v>
      </c>
      <c r="H41" s="253">
        <v>41</v>
      </c>
      <c r="I41" s="253">
        <v>12</v>
      </c>
      <c r="J41" s="253">
        <v>17</v>
      </c>
      <c r="K41" s="253">
        <v>13</v>
      </c>
      <c r="L41" s="253">
        <v>7</v>
      </c>
      <c r="M41" s="253">
        <v>0</v>
      </c>
      <c r="N41" s="194">
        <v>0</v>
      </c>
      <c r="O41" s="89">
        <f t="shared" si="16"/>
        <v>125</v>
      </c>
      <c r="P41" s="95">
        <f t="shared" si="18"/>
        <v>8.7824070821330702E-3</v>
      </c>
      <c r="Q41">
        <f t="shared" si="17"/>
        <v>83</v>
      </c>
      <c r="R41" s="79">
        <f t="shared" si="19"/>
        <v>2.0062847474014985E-2</v>
      </c>
      <c r="S41" s="79">
        <f>R51/$R$57</f>
        <v>9.014585217984733E-3</v>
      </c>
    </row>
    <row r="42" spans="1:19" x14ac:dyDescent="0.25">
      <c r="A42" s="384"/>
      <c r="B42" s="126" t="s">
        <v>75</v>
      </c>
      <c r="C42" s="278"/>
      <c r="D42" s="278"/>
      <c r="E42" s="278"/>
      <c r="F42" s="278"/>
      <c r="G42" s="98"/>
      <c r="H42" s="278"/>
      <c r="I42" s="278">
        <v>21</v>
      </c>
      <c r="J42" s="278">
        <v>74</v>
      </c>
      <c r="K42" s="278">
        <v>67</v>
      </c>
      <c r="L42" s="278">
        <v>38</v>
      </c>
      <c r="M42" s="278">
        <v>75</v>
      </c>
      <c r="N42" s="194">
        <v>93</v>
      </c>
      <c r="O42" s="89">
        <f t="shared" si="16"/>
        <v>368</v>
      </c>
      <c r="P42" s="95">
        <f t="shared" si="18"/>
        <v>2.5855406449799761E-2</v>
      </c>
      <c r="Q42">
        <f t="shared" si="17"/>
        <v>162</v>
      </c>
      <c r="R42" s="79">
        <f t="shared" si="19"/>
        <v>3.9158810732414791E-2</v>
      </c>
      <c r="S42" s="79">
        <f>R54/$R$57</f>
        <v>7.1818311669761464E-2</v>
      </c>
    </row>
    <row r="43" spans="1:19" x14ac:dyDescent="0.25">
      <c r="A43" s="384"/>
      <c r="B43" s="126" t="s">
        <v>46</v>
      </c>
      <c r="C43" s="253">
        <v>26</v>
      </c>
      <c r="D43" s="253">
        <v>283</v>
      </c>
      <c r="E43" s="253">
        <v>317</v>
      </c>
      <c r="F43" s="253">
        <v>394</v>
      </c>
      <c r="G43" s="253">
        <v>487</v>
      </c>
      <c r="H43" s="253">
        <v>293</v>
      </c>
      <c r="I43" s="253">
        <v>173</v>
      </c>
      <c r="J43" s="253">
        <v>18</v>
      </c>
      <c r="K43" s="253">
        <v>277</v>
      </c>
      <c r="L43" s="253">
        <v>806</v>
      </c>
      <c r="M43" s="253">
        <v>1205</v>
      </c>
      <c r="N43" s="253">
        <v>237</v>
      </c>
      <c r="O43" s="89">
        <f t="shared" si="16"/>
        <v>4516</v>
      </c>
      <c r="P43" s="95">
        <f t="shared" si="18"/>
        <v>0.31729080306330359</v>
      </c>
      <c r="Q43">
        <f t="shared" si="17"/>
        <v>761</v>
      </c>
      <c r="R43" s="79">
        <f t="shared" si="19"/>
        <v>0.18394972202078802</v>
      </c>
      <c r="S43" s="79">
        <f>R52/$R$57</f>
        <v>0.20708152803567748</v>
      </c>
    </row>
    <row r="44" spans="1:19" ht="15.75" thickBot="1" x14ac:dyDescent="0.3">
      <c r="A44" s="385"/>
      <c r="B44" s="127" t="s">
        <v>63</v>
      </c>
      <c r="C44" s="253">
        <v>11</v>
      </c>
      <c r="D44" s="253">
        <v>5</v>
      </c>
      <c r="E44" s="253">
        <v>12</v>
      </c>
      <c r="F44" s="253">
        <v>2</v>
      </c>
      <c r="G44" s="253">
        <v>10</v>
      </c>
      <c r="H44" s="253">
        <v>7</v>
      </c>
      <c r="I44" s="253">
        <v>2</v>
      </c>
      <c r="J44" s="253">
        <v>0</v>
      </c>
      <c r="K44" s="253">
        <v>4</v>
      </c>
      <c r="L44" s="253">
        <v>0</v>
      </c>
      <c r="M44" s="253">
        <v>5</v>
      </c>
      <c r="N44" s="253">
        <v>0</v>
      </c>
      <c r="O44" s="89">
        <f t="shared" si="16"/>
        <v>58</v>
      </c>
      <c r="P44" s="95">
        <f>O44/$O$45</f>
        <v>4.0750368861097452E-3</v>
      </c>
      <c r="Q44">
        <f t="shared" si="17"/>
        <v>13</v>
      </c>
      <c r="R44" s="79">
        <f t="shared" si="19"/>
        <v>3.1423737007493352E-3</v>
      </c>
      <c r="S44" s="79">
        <f>R53/$R$57</f>
        <v>3.2300147597962197E-3</v>
      </c>
    </row>
    <row r="45" spans="1:19" ht="15.75" thickBot="1" x14ac:dyDescent="0.3">
      <c r="A45" s="199"/>
      <c r="B45" s="200"/>
      <c r="C45" s="205">
        <f t="shared" ref="C45:O45" si="20">SUM(C38:C44)</f>
        <v>733</v>
      </c>
      <c r="D45" s="206">
        <f t="shared" si="20"/>
        <v>907</v>
      </c>
      <c r="E45" s="206">
        <f t="shared" si="20"/>
        <v>651</v>
      </c>
      <c r="F45" s="206">
        <f t="shared" si="20"/>
        <v>2236</v>
      </c>
      <c r="G45" s="206">
        <f t="shared" si="20"/>
        <v>978</v>
      </c>
      <c r="H45" s="206">
        <f t="shared" si="20"/>
        <v>726</v>
      </c>
      <c r="I45" s="206">
        <f t="shared" si="20"/>
        <v>848</v>
      </c>
      <c r="J45" s="206">
        <f t="shared" si="20"/>
        <v>1307</v>
      </c>
      <c r="K45" s="206">
        <f t="shared" si="20"/>
        <v>1256</v>
      </c>
      <c r="L45" s="206">
        <f t="shared" si="20"/>
        <v>1898</v>
      </c>
      <c r="M45" s="206">
        <f t="shared" si="20"/>
        <v>1862</v>
      </c>
      <c r="N45" s="206">
        <f t="shared" si="20"/>
        <v>831</v>
      </c>
      <c r="O45" s="207">
        <f t="shared" si="20"/>
        <v>14233</v>
      </c>
      <c r="P45" s="95">
        <f>SUM(P38:P44)</f>
        <v>1</v>
      </c>
      <c r="Q45">
        <f>SUM(H45:K45)</f>
        <v>4137</v>
      </c>
      <c r="R45" s="185"/>
      <c r="S45" s="87">
        <f>SUM(S38:S44)</f>
        <v>1</v>
      </c>
    </row>
    <row r="46" spans="1:19" ht="15.75" thickBot="1" x14ac:dyDescent="0.3">
      <c r="A46" s="199"/>
      <c r="B46" s="200"/>
      <c r="C46" s="219"/>
      <c r="D46" s="219"/>
      <c r="E46" s="219"/>
      <c r="F46" s="219"/>
      <c r="G46" s="219"/>
      <c r="H46" s="219"/>
      <c r="I46" s="219"/>
      <c r="J46" s="219"/>
      <c r="K46" s="219"/>
      <c r="L46" s="219"/>
      <c r="M46" s="219"/>
      <c r="N46" s="219"/>
      <c r="O46" s="257"/>
      <c r="P46" s="95"/>
      <c r="R46" s="185"/>
    </row>
    <row r="47" spans="1:19" ht="15.75" thickBot="1" x14ac:dyDescent="0.3">
      <c r="A47" s="381"/>
      <c r="B47" s="382"/>
      <c r="C47" s="246" t="s">
        <v>37</v>
      </c>
      <c r="D47" s="246" t="s">
        <v>38</v>
      </c>
      <c r="E47" s="246" t="s">
        <v>39</v>
      </c>
      <c r="F47" s="246" t="s">
        <v>40</v>
      </c>
      <c r="G47" s="246" t="s">
        <v>41</v>
      </c>
      <c r="H47" s="246" t="s">
        <v>42</v>
      </c>
      <c r="I47" s="246" t="s">
        <v>43</v>
      </c>
      <c r="J47" s="246" t="s">
        <v>44</v>
      </c>
      <c r="K47" s="246" t="s">
        <v>36</v>
      </c>
      <c r="L47" s="246" t="s">
        <v>35</v>
      </c>
      <c r="M47" s="246" t="s">
        <v>33</v>
      </c>
      <c r="N47" s="246" t="s">
        <v>34</v>
      </c>
      <c r="O47" s="247" t="s">
        <v>49</v>
      </c>
      <c r="P47" s="254" t="s">
        <v>51</v>
      </c>
      <c r="Q47" s="254" t="s">
        <v>16</v>
      </c>
    </row>
    <row r="48" spans="1:19" x14ac:dyDescent="0.25">
      <c r="A48" s="383" t="s">
        <v>31</v>
      </c>
      <c r="B48" s="73" t="s">
        <v>27</v>
      </c>
      <c r="C48" s="96">
        <v>1277</v>
      </c>
      <c r="D48" s="96">
        <v>982</v>
      </c>
      <c r="E48" s="96">
        <v>463</v>
      </c>
      <c r="F48" s="96">
        <v>3966</v>
      </c>
      <c r="G48" s="31">
        <v>824.2</v>
      </c>
      <c r="H48" s="268">
        <v>893</v>
      </c>
      <c r="I48" s="96">
        <v>1444.12</v>
      </c>
      <c r="J48" s="96">
        <v>2652</v>
      </c>
      <c r="K48" s="96">
        <v>2045</v>
      </c>
      <c r="L48" s="96">
        <v>1398.27</v>
      </c>
      <c r="M48" s="96">
        <v>968.01</v>
      </c>
      <c r="N48" s="96">
        <v>878.3</v>
      </c>
      <c r="O48" s="97">
        <f t="shared" ref="O48:O50" si="21">SUM(C48:N48)</f>
        <v>17790.899999999998</v>
      </c>
      <c r="P48" s="79">
        <f>O48/$O$57</f>
        <v>0.33283662925951801</v>
      </c>
      <c r="Q48" s="80">
        <f>O48/O38</f>
        <v>3.0277229407760378</v>
      </c>
      <c r="R48" s="240">
        <f>SUM(H48:K48)</f>
        <v>7034.12</v>
      </c>
    </row>
    <row r="49" spans="1:19" x14ac:dyDescent="0.25">
      <c r="A49" s="384"/>
      <c r="B49" s="71" t="s">
        <v>45</v>
      </c>
      <c r="C49" s="69">
        <v>739</v>
      </c>
      <c r="D49" s="69">
        <v>689</v>
      </c>
      <c r="E49" s="69">
        <v>411</v>
      </c>
      <c r="F49" s="69">
        <v>2462</v>
      </c>
      <c r="G49" s="31">
        <v>492.34</v>
      </c>
      <c r="H49" s="243">
        <v>300</v>
      </c>
      <c r="I49" s="69">
        <v>395.94</v>
      </c>
      <c r="J49" s="69">
        <v>915</v>
      </c>
      <c r="K49" s="69">
        <v>980</v>
      </c>
      <c r="L49" s="69">
        <v>662.3</v>
      </c>
      <c r="M49" s="69">
        <v>665.88</v>
      </c>
      <c r="N49" s="69">
        <v>395.24</v>
      </c>
      <c r="O49" s="70">
        <f>SUM(C49:N49)</f>
        <v>9107.6999999999989</v>
      </c>
      <c r="P49" s="79">
        <f t="shared" ref="P49:P56" si="22">O49/$O$57</f>
        <v>0.17038914098257604</v>
      </c>
      <c r="Q49" s="80">
        <f>O49/O39</f>
        <v>5.4148038049940537</v>
      </c>
      <c r="R49" s="240">
        <f t="shared" ref="R49:R54" si="23">SUM(H49:K49)</f>
        <v>2590.94</v>
      </c>
    </row>
    <row r="50" spans="1:19" x14ac:dyDescent="0.25">
      <c r="A50" s="384"/>
      <c r="B50" s="71" t="s">
        <v>28</v>
      </c>
      <c r="C50" s="31">
        <v>332.41</v>
      </c>
      <c r="D50" s="31">
        <v>327.60000000000002</v>
      </c>
      <c r="E50" s="31">
        <v>161.31</v>
      </c>
      <c r="F50" s="31">
        <v>304.87</v>
      </c>
      <c r="G50" s="31">
        <v>395.01</v>
      </c>
      <c r="H50" s="269">
        <v>183.38</v>
      </c>
      <c r="I50" s="31">
        <v>329.5</v>
      </c>
      <c r="J50" s="31">
        <v>748.3</v>
      </c>
      <c r="K50" s="31">
        <v>279.83</v>
      </c>
      <c r="L50" s="31">
        <v>471.77</v>
      </c>
      <c r="M50" s="31">
        <v>363.77</v>
      </c>
      <c r="N50" s="31">
        <f>151.5+31.96</f>
        <v>183.46</v>
      </c>
      <c r="O50" s="70">
        <f t="shared" si="21"/>
        <v>4081.21</v>
      </c>
      <c r="P50" s="79">
        <f t="shared" si="22"/>
        <v>7.6352302564807725E-2</v>
      </c>
      <c r="Q50" s="80">
        <f>O50/O40</f>
        <v>2.5380659203980098</v>
      </c>
      <c r="R50" s="240">
        <f t="shared" si="23"/>
        <v>1541.0099999999998</v>
      </c>
    </row>
    <row r="51" spans="1:19" x14ac:dyDescent="0.25">
      <c r="A51" s="384"/>
      <c r="B51" s="71" t="s">
        <v>29</v>
      </c>
      <c r="C51" s="31">
        <v>8</v>
      </c>
      <c r="D51" s="31">
        <v>0</v>
      </c>
      <c r="E51" s="31">
        <v>39.5</v>
      </c>
      <c r="F51" s="31">
        <v>11.5</v>
      </c>
      <c r="G51" s="31">
        <v>0</v>
      </c>
      <c r="H51" s="269">
        <v>64</v>
      </c>
      <c r="I51" s="31">
        <v>22.5</v>
      </c>
      <c r="J51" s="31">
        <v>30</v>
      </c>
      <c r="K51" s="31">
        <v>25.5</v>
      </c>
      <c r="L51" s="31">
        <v>11.5</v>
      </c>
      <c r="M51" s="31">
        <v>0</v>
      </c>
      <c r="N51" s="31">
        <v>0</v>
      </c>
      <c r="O51" s="70">
        <f>SUM(C51:N51)</f>
        <v>212.5</v>
      </c>
      <c r="P51" s="79">
        <f t="shared" si="22"/>
        <v>3.9755034156589934E-3</v>
      </c>
      <c r="Q51" s="80">
        <f>O51/O41</f>
        <v>1.7</v>
      </c>
      <c r="R51" s="240">
        <f t="shared" si="23"/>
        <v>142</v>
      </c>
    </row>
    <row r="52" spans="1:19" x14ac:dyDescent="0.25">
      <c r="A52" s="384"/>
      <c r="B52" s="71" t="s">
        <v>46</v>
      </c>
      <c r="C52" s="31">
        <v>65</v>
      </c>
      <c r="D52" s="31">
        <v>753.5</v>
      </c>
      <c r="E52" s="31">
        <v>1479</v>
      </c>
      <c r="F52" s="31">
        <v>1814</v>
      </c>
      <c r="G52" s="195">
        <v>2013.5</v>
      </c>
      <c r="H52" s="269">
        <v>897</v>
      </c>
      <c r="I52" s="31">
        <v>736</v>
      </c>
      <c r="J52" s="31">
        <v>90</v>
      </c>
      <c r="K52" s="31">
        <v>1539</v>
      </c>
      <c r="L52" s="31">
        <v>3555</v>
      </c>
      <c r="M52" s="31">
        <v>4118.5</v>
      </c>
      <c r="N52" s="31">
        <v>1060.5</v>
      </c>
      <c r="O52" s="70">
        <f t="shared" ref="O52:O56" si="24">SUM(C52:N52)</f>
        <v>18121</v>
      </c>
      <c r="P52" s="79">
        <f t="shared" si="22"/>
        <v>0.33901222303603118</v>
      </c>
      <c r="Q52" s="80">
        <f>O52/O43</f>
        <v>4.0126217891939771</v>
      </c>
      <c r="R52" s="240">
        <f t="shared" si="23"/>
        <v>3262</v>
      </c>
    </row>
    <row r="53" spans="1:19" x14ac:dyDescent="0.25">
      <c r="A53" s="384"/>
      <c r="B53" s="71" t="s">
        <v>63</v>
      </c>
      <c r="C53" s="31">
        <v>52.5</v>
      </c>
      <c r="D53" s="31">
        <v>27.16</v>
      </c>
      <c r="E53" s="31">
        <v>56</v>
      </c>
      <c r="F53" s="31">
        <v>11.64</v>
      </c>
      <c r="G53" s="31">
        <v>57.76</v>
      </c>
      <c r="H53" s="269">
        <v>18.88</v>
      </c>
      <c r="I53" s="31">
        <v>12</v>
      </c>
      <c r="J53" s="31">
        <v>0</v>
      </c>
      <c r="K53" s="31">
        <v>20</v>
      </c>
      <c r="L53" s="31">
        <v>0</v>
      </c>
      <c r="M53" s="31">
        <v>28</v>
      </c>
      <c r="N53" s="31">
        <v>0</v>
      </c>
      <c r="O53" s="70">
        <f t="shared" si="24"/>
        <v>283.94</v>
      </c>
      <c r="P53" s="79">
        <f t="shared" si="22"/>
        <v>5.312020893375128E-3</v>
      </c>
      <c r="Q53" s="80">
        <f>O53/O44</f>
        <v>4.8955172413793102</v>
      </c>
      <c r="R53" s="240">
        <f>SUM(H53:K53)</f>
        <v>50.879999999999995</v>
      </c>
    </row>
    <row r="54" spans="1:19" x14ac:dyDescent="0.25">
      <c r="A54" s="384"/>
      <c r="B54" s="71" t="s">
        <v>75</v>
      </c>
      <c r="C54" s="31"/>
      <c r="D54" s="31"/>
      <c r="E54" s="31"/>
      <c r="F54" s="31"/>
      <c r="G54" s="31"/>
      <c r="H54" s="269"/>
      <c r="I54" s="31">
        <v>121.42</v>
      </c>
      <c r="J54" s="31">
        <v>531.26</v>
      </c>
      <c r="K54" s="31">
        <v>478.62</v>
      </c>
      <c r="L54" s="31">
        <v>273.54000000000002</v>
      </c>
      <c r="M54" s="31">
        <v>515.91999999999996</v>
      </c>
      <c r="N54" s="31">
        <v>662.24</v>
      </c>
      <c r="O54" s="70">
        <f t="shared" si="24"/>
        <v>2583</v>
      </c>
      <c r="P54" s="79">
        <f t="shared" si="22"/>
        <v>4.8323413283045555E-2</v>
      </c>
      <c r="Q54" s="80">
        <f>O54/O42</f>
        <v>7.0190217391304346</v>
      </c>
      <c r="R54" s="240">
        <f t="shared" si="23"/>
        <v>1131.3</v>
      </c>
    </row>
    <row r="55" spans="1:19" x14ac:dyDescent="0.25">
      <c r="A55" s="384"/>
      <c r="B55" s="71" t="s">
        <v>53</v>
      </c>
      <c r="C55" s="31">
        <v>40</v>
      </c>
      <c r="D55" s="31">
        <v>31.2</v>
      </c>
      <c r="E55" s="31">
        <v>82.2</v>
      </c>
      <c r="F55" s="31">
        <v>31.2</v>
      </c>
      <c r="G55" s="31">
        <v>24</v>
      </c>
      <c r="H55" s="269">
        <v>65.8</v>
      </c>
      <c r="I55" s="31">
        <v>107.6</v>
      </c>
      <c r="J55" s="31">
        <v>157.6</v>
      </c>
      <c r="K55" s="31">
        <v>45.6</v>
      </c>
      <c r="L55" s="31">
        <v>38.4</v>
      </c>
      <c r="M55" s="31">
        <v>26</v>
      </c>
      <c r="N55" s="31">
        <v>7</v>
      </c>
      <c r="O55" s="70">
        <f t="shared" si="24"/>
        <v>656.6</v>
      </c>
      <c r="P55" s="79">
        <f t="shared" si="22"/>
        <v>1.2283837848102096E-2</v>
      </c>
      <c r="R55" s="240"/>
      <c r="S55" s="79"/>
    </row>
    <row r="56" spans="1:19" ht="15.75" thickBot="1" x14ac:dyDescent="0.3">
      <c r="A56" s="385"/>
      <c r="B56" s="72" t="s">
        <v>50</v>
      </c>
      <c r="C56" s="31">
        <v>2</v>
      </c>
      <c r="D56" s="31">
        <v>19</v>
      </c>
      <c r="E56" s="31">
        <v>94</v>
      </c>
      <c r="F56" s="31">
        <v>128.5</v>
      </c>
      <c r="G56" s="31">
        <v>41</v>
      </c>
      <c r="H56" s="269">
        <v>27.6</v>
      </c>
      <c r="I56" s="31">
        <v>76.5</v>
      </c>
      <c r="J56" s="31">
        <v>48.7</v>
      </c>
      <c r="K56" s="298">
        <v>25.6</v>
      </c>
      <c r="L56" s="31">
        <v>44.4</v>
      </c>
      <c r="M56" s="31">
        <v>98.2</v>
      </c>
      <c r="N56" s="31">
        <v>10</v>
      </c>
      <c r="O56" s="70">
        <f t="shared" si="24"/>
        <v>615.5</v>
      </c>
      <c r="P56" s="79">
        <f t="shared" si="22"/>
        <v>1.1514928716885225E-2</v>
      </c>
      <c r="R56" s="240"/>
      <c r="S56" s="79"/>
    </row>
    <row r="57" spans="1:19" ht="15.75" thickBot="1" x14ac:dyDescent="0.3">
      <c r="B57" s="200"/>
      <c r="C57" s="204">
        <f t="shared" ref="C57:O57" si="25">SUM(C48:C56)</f>
        <v>2515.91</v>
      </c>
      <c r="D57" s="208">
        <f t="shared" si="25"/>
        <v>2829.4599999999996</v>
      </c>
      <c r="E57" s="208">
        <f t="shared" si="25"/>
        <v>2786.0099999999998</v>
      </c>
      <c r="F57" s="208">
        <f t="shared" si="25"/>
        <v>8729.7099999999991</v>
      </c>
      <c r="G57" s="208">
        <f t="shared" si="25"/>
        <v>3847.8100000000004</v>
      </c>
      <c r="H57" s="208">
        <f t="shared" si="25"/>
        <v>2449.6600000000003</v>
      </c>
      <c r="I57" s="208">
        <f t="shared" si="25"/>
        <v>3245.58</v>
      </c>
      <c r="J57" s="208">
        <f t="shared" si="25"/>
        <v>5172.8600000000006</v>
      </c>
      <c r="K57" s="208">
        <f t="shared" si="25"/>
        <v>5439.1500000000005</v>
      </c>
      <c r="L57" s="208">
        <f t="shared" si="25"/>
        <v>6455.1799999999994</v>
      </c>
      <c r="M57" s="208">
        <f t="shared" si="25"/>
        <v>6784.28</v>
      </c>
      <c r="N57" s="208">
        <f t="shared" si="25"/>
        <v>3196.74</v>
      </c>
      <c r="O57" s="209">
        <f t="shared" si="25"/>
        <v>53452.35</v>
      </c>
      <c r="P57" s="79"/>
      <c r="R57" s="240">
        <f>SUM(R48:R56)</f>
        <v>15752.249999999998</v>
      </c>
      <c r="S57" s="87"/>
    </row>
    <row r="58" spans="1:19" ht="15.75" thickBot="1" x14ac:dyDescent="0.3">
      <c r="B58" s="200"/>
      <c r="C58" s="237"/>
      <c r="D58" s="237"/>
      <c r="E58" s="237"/>
      <c r="F58" s="237"/>
      <c r="G58" s="237"/>
      <c r="H58" s="237"/>
      <c r="I58" s="237"/>
      <c r="J58" s="237"/>
      <c r="K58" s="237"/>
      <c r="L58" s="237"/>
      <c r="M58" s="237"/>
      <c r="N58" s="237"/>
      <c r="O58" s="237"/>
      <c r="P58" s="79"/>
    </row>
    <row r="59" spans="1:19" ht="15.75" thickBot="1" x14ac:dyDescent="0.3">
      <c r="A59" s="406">
        <v>2021</v>
      </c>
      <c r="B59" s="407"/>
      <c r="C59" s="407"/>
      <c r="D59" s="407"/>
      <c r="E59" s="407"/>
      <c r="F59" s="407"/>
      <c r="G59" s="407"/>
      <c r="H59" s="407"/>
      <c r="I59" s="407"/>
      <c r="J59" s="407"/>
      <c r="K59" s="407"/>
      <c r="L59" s="407"/>
      <c r="M59" s="407"/>
      <c r="N59" s="407"/>
      <c r="O59" s="408"/>
    </row>
    <row r="60" spans="1:19" ht="15.75" thickBot="1" x14ac:dyDescent="0.3">
      <c r="A60" s="409"/>
      <c r="B60" s="382"/>
      <c r="C60" s="113" t="s">
        <v>37</v>
      </c>
      <c r="D60" s="113" t="s">
        <v>38</v>
      </c>
      <c r="E60" s="113" t="s">
        <v>39</v>
      </c>
      <c r="F60" s="113" t="s">
        <v>40</v>
      </c>
      <c r="G60" s="113" t="s">
        <v>41</v>
      </c>
      <c r="H60" s="113" t="s">
        <v>42</v>
      </c>
      <c r="I60" s="113" t="s">
        <v>43</v>
      </c>
      <c r="J60" s="113" t="s">
        <v>44</v>
      </c>
      <c r="K60" s="113" t="s">
        <v>36</v>
      </c>
      <c r="L60" s="113" t="s">
        <v>35</v>
      </c>
      <c r="M60" s="113" t="s">
        <v>33</v>
      </c>
      <c r="N60" s="113" t="s">
        <v>34</v>
      </c>
      <c r="O60" s="114" t="s">
        <v>49</v>
      </c>
      <c r="P60" s="412" t="s">
        <v>52</v>
      </c>
      <c r="Q60" s="413"/>
    </row>
    <row r="61" spans="1:19" x14ac:dyDescent="0.25">
      <c r="A61" s="383" t="s">
        <v>48</v>
      </c>
      <c r="B61" s="74" t="s">
        <v>47</v>
      </c>
      <c r="C61" s="120">
        <v>7</v>
      </c>
      <c r="D61" s="120">
        <v>14</v>
      </c>
      <c r="E61" s="120">
        <v>49</v>
      </c>
      <c r="F61" s="120">
        <f>'[1]RESUM ANUAL'!$F$3</f>
        <v>23</v>
      </c>
      <c r="G61" s="120">
        <f>'[1]RESUM ANUAL'!$G$3</f>
        <v>35</v>
      </c>
      <c r="H61" s="120">
        <v>26</v>
      </c>
      <c r="I61" s="120">
        <v>2</v>
      </c>
      <c r="J61" s="120">
        <v>0</v>
      </c>
      <c r="K61" s="120">
        <v>0</v>
      </c>
      <c r="L61" s="120">
        <v>0</v>
      </c>
      <c r="M61" s="120">
        <v>0</v>
      </c>
      <c r="N61" s="120">
        <v>3</v>
      </c>
      <c r="O61" s="88">
        <f>SUM(C61:N61)</f>
        <v>159</v>
      </c>
      <c r="P61" s="95">
        <f>O61/(O61+O62)</f>
        <v>3.491436100131752E-2</v>
      </c>
    </row>
    <row r="62" spans="1:19" ht="15.75" thickBot="1" x14ac:dyDescent="0.3">
      <c r="A62" s="385"/>
      <c r="B62" s="76" t="s">
        <v>55</v>
      </c>
      <c r="C62" s="77">
        <v>34</v>
      </c>
      <c r="D62" s="77">
        <v>75</v>
      </c>
      <c r="E62" s="77">
        <v>229</v>
      </c>
      <c r="F62" s="77">
        <v>290</v>
      </c>
      <c r="G62" s="77">
        <v>526</v>
      </c>
      <c r="H62" s="77">
        <v>387</v>
      </c>
      <c r="I62" s="77">
        <v>411</v>
      </c>
      <c r="J62" s="77">
        <v>836</v>
      </c>
      <c r="K62" s="77">
        <v>703</v>
      </c>
      <c r="L62" s="77">
        <v>432</v>
      </c>
      <c r="M62" s="77">
        <v>239</v>
      </c>
      <c r="N62" s="77">
        <v>233</v>
      </c>
      <c r="O62" s="90">
        <f>SUM(C62:N62)</f>
        <v>4395</v>
      </c>
      <c r="P62" s="95">
        <f>O62/(O61+O62)</f>
        <v>0.96508563899868249</v>
      </c>
    </row>
    <row r="63" spans="1:19" s="115" customFormat="1" ht="15.75" thickBot="1" x14ac:dyDescent="0.3">
      <c r="A63" s="285"/>
      <c r="B63" s="198"/>
      <c r="C63" s="205">
        <f>SUM(C61:C62)</f>
        <v>41</v>
      </c>
      <c r="D63" s="206">
        <f t="shared" ref="D63:N63" si="26">SUM(D61:D62)</f>
        <v>89</v>
      </c>
      <c r="E63" s="206">
        <f t="shared" si="26"/>
        <v>278</v>
      </c>
      <c r="F63" s="206">
        <f t="shared" si="26"/>
        <v>313</v>
      </c>
      <c r="G63" s="206">
        <f t="shared" si="26"/>
        <v>561</v>
      </c>
      <c r="H63" s="206">
        <f t="shared" si="26"/>
        <v>413</v>
      </c>
      <c r="I63" s="206">
        <f t="shared" si="26"/>
        <v>413</v>
      </c>
      <c r="J63" s="206">
        <f t="shared" si="26"/>
        <v>836</v>
      </c>
      <c r="K63" s="206">
        <f t="shared" si="26"/>
        <v>703</v>
      </c>
      <c r="L63" s="206">
        <f t="shared" si="26"/>
        <v>432</v>
      </c>
      <c r="M63" s="206">
        <f t="shared" si="26"/>
        <v>239</v>
      </c>
      <c r="N63" s="206">
        <f t="shared" si="26"/>
        <v>236</v>
      </c>
      <c r="O63" s="207">
        <f>SUM(O61:O62)</f>
        <v>4554</v>
      </c>
      <c r="P63" s="95"/>
      <c r="Q63"/>
    </row>
    <row r="64" spans="1:19" ht="15.75" thickBot="1" x14ac:dyDescent="0.3">
      <c r="A64" s="199"/>
      <c r="B64" s="198"/>
      <c r="C64" s="191"/>
      <c r="D64" s="191"/>
      <c r="E64" s="191"/>
      <c r="F64" s="191"/>
      <c r="G64" s="191"/>
      <c r="H64" s="191"/>
      <c r="I64" s="191"/>
      <c r="J64" s="191"/>
      <c r="K64" s="191"/>
      <c r="L64" s="191"/>
      <c r="M64" s="191"/>
      <c r="N64" s="191"/>
      <c r="O64" s="202"/>
      <c r="P64" s="95"/>
    </row>
    <row r="65" spans="1:18" ht="15.75" thickBot="1" x14ac:dyDescent="0.3">
      <c r="A65" s="381"/>
      <c r="B65" s="382"/>
      <c r="C65" s="192" t="s">
        <v>37</v>
      </c>
      <c r="D65" s="192" t="s">
        <v>38</v>
      </c>
      <c r="E65" s="192" t="s">
        <v>39</v>
      </c>
      <c r="F65" s="192" t="s">
        <v>40</v>
      </c>
      <c r="G65" s="192" t="s">
        <v>41</v>
      </c>
      <c r="H65" s="192" t="s">
        <v>42</v>
      </c>
      <c r="I65" s="192" t="s">
        <v>43</v>
      </c>
      <c r="J65" s="192" t="s">
        <v>44</v>
      </c>
      <c r="K65" s="192" t="s">
        <v>36</v>
      </c>
      <c r="L65" s="192" t="s">
        <v>35</v>
      </c>
      <c r="M65" s="192" t="s">
        <v>33</v>
      </c>
      <c r="N65" s="192" t="s">
        <v>34</v>
      </c>
      <c r="O65" s="193" t="s">
        <v>49</v>
      </c>
      <c r="P65" s="412" t="s">
        <v>52</v>
      </c>
      <c r="Q65" s="413"/>
      <c r="R65" s="100"/>
    </row>
    <row r="66" spans="1:18" x14ac:dyDescent="0.25">
      <c r="A66" s="383" t="s">
        <v>30</v>
      </c>
      <c r="B66" s="73" t="s">
        <v>27</v>
      </c>
      <c r="C66" s="120">
        <v>51</v>
      </c>
      <c r="D66" s="120">
        <v>84</v>
      </c>
      <c r="E66" s="120">
        <v>183</v>
      </c>
      <c r="F66" s="120">
        <f>[1]Abril!$I$183</f>
        <v>424</v>
      </c>
      <c r="G66" s="120">
        <f>'[1]RESUM ANUAL'!$G$4</f>
        <v>456</v>
      </c>
      <c r="H66" s="120">
        <v>300</v>
      </c>
      <c r="I66" s="120">
        <v>426</v>
      </c>
      <c r="J66" s="120">
        <v>1157</v>
      </c>
      <c r="K66" s="120">
        <v>844</v>
      </c>
      <c r="L66" s="120">
        <v>561</v>
      </c>
      <c r="M66" s="120">
        <v>260</v>
      </c>
      <c r="N66" s="120">
        <v>259</v>
      </c>
      <c r="O66" s="88">
        <f t="shared" ref="O66:O72" si="27">SUM(C66:N66)</f>
        <v>5005</v>
      </c>
      <c r="P66" s="95">
        <f t="shared" ref="P66:P72" si="28">O66/$R$70</f>
        <v>0.5265649658074697</v>
      </c>
    </row>
    <row r="67" spans="1:18" x14ac:dyDescent="0.25">
      <c r="A67" s="384"/>
      <c r="B67" s="71" t="s">
        <v>45</v>
      </c>
      <c r="C67" s="122">
        <v>7</v>
      </c>
      <c r="D67" s="122">
        <v>14</v>
      </c>
      <c r="E67" s="98">
        <v>64</v>
      </c>
      <c r="F67" s="98">
        <f>'[1]RESUM ANUAL'!$F$8</f>
        <v>93</v>
      </c>
      <c r="G67" s="122">
        <f>'[1]RESUM ANUAL'!$G$8</f>
        <v>113</v>
      </c>
      <c r="H67" s="122">
        <v>77</v>
      </c>
      <c r="I67" s="122">
        <v>79</v>
      </c>
      <c r="J67" s="122">
        <v>180</v>
      </c>
      <c r="K67" s="122">
        <v>92</v>
      </c>
      <c r="L67" s="122">
        <v>174</v>
      </c>
      <c r="M67" s="122">
        <v>161</v>
      </c>
      <c r="N67" s="122">
        <v>70</v>
      </c>
      <c r="O67" s="89">
        <f t="shared" si="27"/>
        <v>1124</v>
      </c>
      <c r="P67" s="95">
        <f t="shared" si="28"/>
        <v>0.11825355076275644</v>
      </c>
      <c r="Q67" s="87"/>
    </row>
    <row r="68" spans="1:18" x14ac:dyDescent="0.25">
      <c r="A68" s="384"/>
      <c r="B68" s="71" t="s">
        <v>28</v>
      </c>
      <c r="C68" s="122">
        <v>9</v>
      </c>
      <c r="D68" s="122">
        <v>19</v>
      </c>
      <c r="E68" s="122">
        <v>62</v>
      </c>
      <c r="F68" s="98">
        <f>'[2]TOTALS BOTIGA 2021'!$I$6</f>
        <v>114</v>
      </c>
      <c r="G68" s="98">
        <f>'[2]TOTALS BOTIGA 2021'!$I$7</f>
        <v>216</v>
      </c>
      <c r="H68" s="122">
        <v>91</v>
      </c>
      <c r="I68" s="122">
        <v>111</v>
      </c>
      <c r="J68" s="122">
        <v>447</v>
      </c>
      <c r="K68" s="122">
        <v>176</v>
      </c>
      <c r="L68" s="122">
        <v>122</v>
      </c>
      <c r="M68" s="122">
        <v>56</v>
      </c>
      <c r="N68" s="194">
        <f>[2]Desembre!$I$34+[2]Desembre!$I$47</f>
        <v>78</v>
      </c>
      <c r="O68" s="89">
        <f t="shared" si="27"/>
        <v>1501</v>
      </c>
      <c r="P68" s="95">
        <f t="shared" si="28"/>
        <v>0.15791688584955288</v>
      </c>
    </row>
    <row r="69" spans="1:18" x14ac:dyDescent="0.25">
      <c r="A69" s="384"/>
      <c r="B69" s="71" t="s">
        <v>29</v>
      </c>
      <c r="C69" s="122">
        <v>0</v>
      </c>
      <c r="D69" s="122">
        <v>2</v>
      </c>
      <c r="E69" s="122">
        <v>3</v>
      </c>
      <c r="F69" s="122">
        <f>4</f>
        <v>4</v>
      </c>
      <c r="G69" s="194">
        <f>'[2]TOTALS BOTIGA 2021'!$F$7</f>
        <v>14</v>
      </c>
      <c r="H69" s="122">
        <v>16</v>
      </c>
      <c r="I69" s="122">
        <v>17</v>
      </c>
      <c r="J69" s="122">
        <v>27</v>
      </c>
      <c r="K69" s="122">
        <v>6</v>
      </c>
      <c r="L69" s="122">
        <v>96</v>
      </c>
      <c r="M69" s="122">
        <v>14</v>
      </c>
      <c r="N69" s="194">
        <f>[2]Desembre!$I$57</f>
        <v>14</v>
      </c>
      <c r="O69" s="89">
        <f t="shared" si="27"/>
        <v>213</v>
      </c>
      <c r="P69" s="95">
        <f t="shared" si="28"/>
        <v>2.2409258285113098E-2</v>
      </c>
      <c r="R69" t="s">
        <v>64</v>
      </c>
    </row>
    <row r="70" spans="1:18" x14ac:dyDescent="0.25">
      <c r="A70" s="384"/>
      <c r="B70" s="71" t="s">
        <v>46</v>
      </c>
      <c r="C70" s="122">
        <v>0</v>
      </c>
      <c r="D70" s="122">
        <v>51</v>
      </c>
      <c r="E70" s="122">
        <v>47</v>
      </c>
      <c r="F70" s="122">
        <v>50</v>
      </c>
      <c r="G70" s="122">
        <v>96</v>
      </c>
      <c r="H70" s="122">
        <v>20</v>
      </c>
      <c r="I70" s="122">
        <v>152</v>
      </c>
      <c r="J70" s="122">
        <v>56</v>
      </c>
      <c r="K70" s="122">
        <v>137</v>
      </c>
      <c r="L70" s="122">
        <v>352</v>
      </c>
      <c r="M70" s="122">
        <v>330</v>
      </c>
      <c r="N70" s="122">
        <v>168</v>
      </c>
      <c r="O70" s="89">
        <f t="shared" si="27"/>
        <v>1459</v>
      </c>
      <c r="P70" s="95">
        <f t="shared" si="28"/>
        <v>0.15349815886375592</v>
      </c>
      <c r="R70" s="185">
        <f>SUM(O66:O72)</f>
        <v>9505</v>
      </c>
    </row>
    <row r="71" spans="1:18" x14ac:dyDescent="0.25">
      <c r="A71" s="384"/>
      <c r="B71" s="71" t="s">
        <v>63</v>
      </c>
      <c r="C71" s="184"/>
      <c r="D71" s="184"/>
      <c r="E71" s="184"/>
      <c r="F71" s="184">
        <v>22</v>
      </c>
      <c r="G71" s="184">
        <v>0</v>
      </c>
      <c r="H71" s="184">
        <v>6</v>
      </c>
      <c r="I71" s="184">
        <v>13</v>
      </c>
      <c r="J71" s="184">
        <v>29</v>
      </c>
      <c r="K71" s="184">
        <v>36</v>
      </c>
      <c r="L71" s="184">
        <v>18</v>
      </c>
      <c r="M71" s="184">
        <v>19</v>
      </c>
      <c r="N71" s="184">
        <v>4</v>
      </c>
      <c r="O71" s="89">
        <f t="shared" si="27"/>
        <v>147</v>
      </c>
      <c r="P71" s="95">
        <f t="shared" si="28"/>
        <v>1.5465544450289321E-2</v>
      </c>
      <c r="R71" s="185"/>
    </row>
    <row r="72" spans="1:18" ht="15.75" thickBot="1" x14ac:dyDescent="0.3">
      <c r="A72" s="385"/>
      <c r="B72" s="72" t="s">
        <v>32</v>
      </c>
      <c r="C72" s="191">
        <v>56</v>
      </c>
      <c r="D72" s="191">
        <v>0</v>
      </c>
      <c r="E72" s="191">
        <v>0</v>
      </c>
      <c r="F72" s="191">
        <v>0</v>
      </c>
      <c r="G72" s="191">
        <v>0</v>
      </c>
      <c r="H72" s="191">
        <v>0</v>
      </c>
      <c r="I72" s="191">
        <v>0</v>
      </c>
      <c r="J72" s="191">
        <v>0</v>
      </c>
      <c r="K72" s="191">
        <v>0</v>
      </c>
      <c r="L72" s="191">
        <v>0</v>
      </c>
      <c r="M72" s="191">
        <v>0</v>
      </c>
      <c r="N72" s="191">
        <v>0</v>
      </c>
      <c r="O72" s="89">
        <f t="shared" si="27"/>
        <v>56</v>
      </c>
      <c r="P72" s="95">
        <f t="shared" si="28"/>
        <v>5.8916359810625984E-3</v>
      </c>
      <c r="R72" s="185" t="s">
        <v>78</v>
      </c>
    </row>
    <row r="73" spans="1:18" s="115" customFormat="1" ht="15.75" thickBot="1" x14ac:dyDescent="0.3">
      <c r="A73" s="200"/>
      <c r="B73" s="200"/>
      <c r="C73" s="205">
        <f>SUM(C66:C72)</f>
        <v>123</v>
      </c>
      <c r="D73" s="206">
        <f t="shared" ref="D73:O73" si="29">SUM(D66:D72)</f>
        <v>170</v>
      </c>
      <c r="E73" s="206">
        <f t="shared" si="29"/>
        <v>359</v>
      </c>
      <c r="F73" s="206">
        <f t="shared" si="29"/>
        <v>707</v>
      </c>
      <c r="G73" s="206">
        <f t="shared" si="29"/>
        <v>895</v>
      </c>
      <c r="H73" s="206">
        <f t="shared" si="29"/>
        <v>510</v>
      </c>
      <c r="I73" s="206">
        <f t="shared" si="29"/>
        <v>798</v>
      </c>
      <c r="J73" s="206">
        <f t="shared" si="29"/>
        <v>1896</v>
      </c>
      <c r="K73" s="206">
        <f t="shared" si="29"/>
        <v>1291</v>
      </c>
      <c r="L73" s="206">
        <f t="shared" si="29"/>
        <v>1323</v>
      </c>
      <c r="M73" s="206">
        <f t="shared" si="29"/>
        <v>840</v>
      </c>
      <c r="N73" s="206">
        <f t="shared" si="29"/>
        <v>593</v>
      </c>
      <c r="O73" s="207">
        <f t="shared" si="29"/>
        <v>9505</v>
      </c>
      <c r="P73" s="95"/>
      <c r="Q73"/>
      <c r="R73" s="115">
        <f>SUM(H73:K73)</f>
        <v>4495</v>
      </c>
    </row>
    <row r="74" spans="1:18" ht="15.75" thickBot="1" x14ac:dyDescent="0.3">
      <c r="A74" s="199"/>
      <c r="B74" s="200"/>
      <c r="C74" s="191"/>
      <c r="D74" s="191"/>
      <c r="E74" s="191"/>
      <c r="F74" s="191"/>
      <c r="G74" s="191"/>
      <c r="H74" s="191"/>
      <c r="I74" s="191"/>
      <c r="J74" s="191"/>
      <c r="K74" s="191"/>
      <c r="L74" s="191"/>
      <c r="M74" s="191"/>
      <c r="N74" s="191"/>
      <c r="O74" s="203"/>
      <c r="P74" s="95"/>
    </row>
    <row r="75" spans="1:18" ht="15.75" thickBot="1" x14ac:dyDescent="0.3">
      <c r="A75" s="381"/>
      <c r="B75" s="382"/>
      <c r="C75" s="192" t="s">
        <v>37</v>
      </c>
      <c r="D75" s="192" t="s">
        <v>38</v>
      </c>
      <c r="E75" s="192" t="s">
        <v>39</v>
      </c>
      <c r="F75" s="192" t="s">
        <v>40</v>
      </c>
      <c r="G75" s="192" t="s">
        <v>41</v>
      </c>
      <c r="H75" s="192" t="s">
        <v>42</v>
      </c>
      <c r="I75" s="192" t="s">
        <v>43</v>
      </c>
      <c r="J75" s="192" t="s">
        <v>44</v>
      </c>
      <c r="K75" s="192" t="s">
        <v>36</v>
      </c>
      <c r="L75" s="192" t="s">
        <v>35</v>
      </c>
      <c r="M75" s="192" t="s">
        <v>33</v>
      </c>
      <c r="N75" s="192" t="s">
        <v>34</v>
      </c>
      <c r="O75" s="193" t="s">
        <v>49</v>
      </c>
      <c r="P75" s="121" t="s">
        <v>51</v>
      </c>
      <c r="Q75" s="121" t="s">
        <v>16</v>
      </c>
    </row>
    <row r="76" spans="1:18" x14ac:dyDescent="0.25">
      <c r="A76" s="383" t="s">
        <v>31</v>
      </c>
      <c r="B76" s="73" t="s">
        <v>27</v>
      </c>
      <c r="C76" s="96">
        <v>152</v>
      </c>
      <c r="D76" s="96">
        <v>226</v>
      </c>
      <c r="E76" s="96">
        <v>533</v>
      </c>
      <c r="F76" s="96">
        <f>'[1]RESUM ANUAL'!$F$15</f>
        <v>1230.4599999999998</v>
      </c>
      <c r="G76" s="96">
        <f>'[1]RESUM ANUAL'!$G$15</f>
        <v>1307.0899999999999</v>
      </c>
      <c r="H76" s="96">
        <v>902</v>
      </c>
      <c r="I76" s="96">
        <v>1269</v>
      </c>
      <c r="J76" s="96">
        <v>3628</v>
      </c>
      <c r="K76" s="96">
        <v>2296.4200000000005</v>
      </c>
      <c r="L76" s="96">
        <v>1177</v>
      </c>
      <c r="M76" s="96">
        <v>834</v>
      </c>
      <c r="N76" s="96">
        <v>827</v>
      </c>
      <c r="O76" s="97">
        <f t="shared" ref="O76:O83" si="30">SUM(C76:N76)</f>
        <v>14381.97</v>
      </c>
      <c r="P76" s="79">
        <f>O76/$R$81</f>
        <v>0.42565835562702165</v>
      </c>
      <c r="Q76" s="80">
        <f t="shared" ref="Q76:Q81" si="31">O76/O66</f>
        <v>2.8735204795204794</v>
      </c>
    </row>
    <row r="77" spans="1:18" x14ac:dyDescent="0.25">
      <c r="A77" s="384"/>
      <c r="B77" s="71" t="s">
        <v>45</v>
      </c>
      <c r="C77" s="69">
        <v>34</v>
      </c>
      <c r="D77" s="69">
        <v>66</v>
      </c>
      <c r="E77" s="69">
        <v>311</v>
      </c>
      <c r="F77" s="69">
        <f>'[1]RESUM ANUAL'!$F$16</f>
        <v>440.14</v>
      </c>
      <c r="G77" s="69">
        <f>'[1]RESUM ANUAL'!$G$16</f>
        <v>536.11999999999989</v>
      </c>
      <c r="H77" s="69">
        <v>359</v>
      </c>
      <c r="I77" s="69">
        <v>381</v>
      </c>
      <c r="J77" s="69">
        <v>854</v>
      </c>
      <c r="K77" s="69">
        <v>655.91999999999985</v>
      </c>
      <c r="L77" s="69">
        <v>812</v>
      </c>
      <c r="M77" s="69">
        <v>822</v>
      </c>
      <c r="N77" s="69">
        <v>278</v>
      </c>
      <c r="O77" s="70">
        <f t="shared" si="30"/>
        <v>5549.1799999999994</v>
      </c>
      <c r="P77" s="79">
        <f t="shared" ref="P77:P83" si="32">O77/$R$81</f>
        <v>0.16423722437735275</v>
      </c>
      <c r="Q77" s="80">
        <f t="shared" si="31"/>
        <v>4.9369928825622766</v>
      </c>
    </row>
    <row r="78" spans="1:18" x14ac:dyDescent="0.25">
      <c r="A78" s="384"/>
      <c r="B78" s="71" t="s">
        <v>28</v>
      </c>
      <c r="C78" s="31">
        <v>30.5</v>
      </c>
      <c r="D78" s="31">
        <v>14</v>
      </c>
      <c r="E78" s="31">
        <v>159.19999999999999</v>
      </c>
      <c r="F78" s="31">
        <f>[2]Abril!$J$75</f>
        <v>305.78999999999996</v>
      </c>
      <c r="G78" s="195">
        <f>'[2]TOTALS BOTIGA 2021'!$I$23</f>
        <v>544.69999999999982</v>
      </c>
      <c r="H78" s="31">
        <v>262.70999999999998</v>
      </c>
      <c r="I78" s="31">
        <v>297.72000000000003</v>
      </c>
      <c r="J78" s="31">
        <v>1225.6500000000001</v>
      </c>
      <c r="K78" s="31">
        <v>419.55</v>
      </c>
      <c r="L78" s="31">
        <v>359.15</v>
      </c>
      <c r="M78" s="31">
        <v>166.28</v>
      </c>
      <c r="N78" s="31">
        <f>[2]Desembre!$J$34+[2]Desembre!$J$47</f>
        <v>204.96</v>
      </c>
      <c r="O78" s="70">
        <f t="shared" si="30"/>
        <v>3990.2100000000005</v>
      </c>
      <c r="P78" s="79">
        <f t="shared" si="32"/>
        <v>0.11809691072964958</v>
      </c>
      <c r="Q78" s="80">
        <f t="shared" si="31"/>
        <v>2.6583677548301137</v>
      </c>
    </row>
    <row r="79" spans="1:18" x14ac:dyDescent="0.25">
      <c r="A79" s="384"/>
      <c r="B79" s="71" t="s">
        <v>29</v>
      </c>
      <c r="C79" s="31">
        <v>0</v>
      </c>
      <c r="D79" s="31">
        <v>3</v>
      </c>
      <c r="E79" s="31">
        <v>5.5</v>
      </c>
      <c r="F79" s="31">
        <v>4</v>
      </c>
      <c r="G79" s="69">
        <f>'[2]TOTALS BOTIGA 2021'!$F$23</f>
        <v>27</v>
      </c>
      <c r="H79" s="31">
        <v>25</v>
      </c>
      <c r="I79" s="31">
        <v>24.5</v>
      </c>
      <c r="J79" s="31">
        <v>48.5</v>
      </c>
      <c r="K79" s="31">
        <v>11.5</v>
      </c>
      <c r="L79" s="31">
        <v>46.5</v>
      </c>
      <c r="M79" s="31">
        <v>25.5</v>
      </c>
      <c r="N79" s="31">
        <f>[2]Desembre!$J$57</f>
        <v>24.5</v>
      </c>
      <c r="O79" s="70">
        <f>SUM(C79:N79)</f>
        <v>245.5</v>
      </c>
      <c r="P79" s="79">
        <f t="shared" si="32"/>
        <v>7.2659813854731876E-3</v>
      </c>
      <c r="Q79" s="80">
        <f t="shared" si="31"/>
        <v>1.1525821596244132</v>
      </c>
    </row>
    <row r="80" spans="1:18" x14ac:dyDescent="0.25">
      <c r="A80" s="384"/>
      <c r="B80" s="71" t="s">
        <v>46</v>
      </c>
      <c r="C80" s="31">
        <v>0</v>
      </c>
      <c r="D80" s="31">
        <f>51*5.75</f>
        <v>293.25</v>
      </c>
      <c r="E80" s="31">
        <v>376</v>
      </c>
      <c r="F80" s="31">
        <v>0</v>
      </c>
      <c r="G80" s="195">
        <v>616</v>
      </c>
      <c r="H80" s="31">
        <v>0</v>
      </c>
      <c r="I80" s="31">
        <v>633</v>
      </c>
      <c r="J80" s="31">
        <v>350</v>
      </c>
      <c r="K80" s="31">
        <v>782</v>
      </c>
      <c r="L80" s="31">
        <v>1993.9</v>
      </c>
      <c r="M80" s="31">
        <v>1573.9</v>
      </c>
      <c r="N80" s="31">
        <v>527.5</v>
      </c>
      <c r="O80" s="70">
        <f t="shared" si="30"/>
        <v>7145.5499999999993</v>
      </c>
      <c r="P80" s="79">
        <f t="shared" si="32"/>
        <v>0.21148445331555166</v>
      </c>
      <c r="Q80" s="80">
        <f t="shared" si="31"/>
        <v>4.8975668265935566</v>
      </c>
      <c r="R80" t="s">
        <v>65</v>
      </c>
    </row>
    <row r="81" spans="1:18" x14ac:dyDescent="0.25">
      <c r="A81" s="384"/>
      <c r="B81" s="71" t="s">
        <v>63</v>
      </c>
      <c r="C81" s="31"/>
      <c r="D81" s="31"/>
      <c r="E81" s="31"/>
      <c r="F81" s="31">
        <v>76.14</v>
      </c>
      <c r="G81" s="31">
        <v>0</v>
      </c>
      <c r="H81" s="31">
        <f>11.64+22</f>
        <v>33.64</v>
      </c>
      <c r="I81" s="31">
        <v>70.08</v>
      </c>
      <c r="J81" s="31">
        <v>123.84</v>
      </c>
      <c r="K81" s="31">
        <v>169.72</v>
      </c>
      <c r="L81" s="31">
        <v>99.12</v>
      </c>
      <c r="M81" s="31">
        <v>91.18</v>
      </c>
      <c r="N81" s="31">
        <f>[2]Desembre!$J$62</f>
        <v>23.28</v>
      </c>
      <c r="O81" s="70">
        <f t="shared" si="30"/>
        <v>687</v>
      </c>
      <c r="P81" s="79">
        <f t="shared" si="32"/>
        <v>2.0332909213116417E-2</v>
      </c>
      <c r="Q81" s="80">
        <f t="shared" si="31"/>
        <v>4.6734693877551017</v>
      </c>
      <c r="R81" s="186">
        <f>SUM(O76:O83)</f>
        <v>33787.589999999997</v>
      </c>
    </row>
    <row r="82" spans="1:18" x14ac:dyDescent="0.25">
      <c r="A82" s="384"/>
      <c r="B82" s="71" t="s">
        <v>53</v>
      </c>
      <c r="C82" s="31">
        <v>21</v>
      </c>
      <c r="D82" s="31">
        <v>5</v>
      </c>
      <c r="E82" s="31">
        <v>39.799999999999997</v>
      </c>
      <c r="F82" s="31">
        <v>17.600000000000001</v>
      </c>
      <c r="G82" s="31">
        <f>[1]Botiga!$D$5</f>
        <v>17.600000000000001</v>
      </c>
      <c r="H82" s="31">
        <v>36.4</v>
      </c>
      <c r="I82" s="31">
        <v>110.6</v>
      </c>
      <c r="J82" s="31">
        <v>151</v>
      </c>
      <c r="K82" s="31">
        <v>92.8</v>
      </c>
      <c r="L82" s="31">
        <v>50</v>
      </c>
      <c r="M82" s="31">
        <v>5.2</v>
      </c>
      <c r="N82" s="31">
        <v>9.6</v>
      </c>
      <c r="O82" s="70">
        <f t="shared" si="30"/>
        <v>556.6</v>
      </c>
      <c r="P82" s="79">
        <f t="shared" si="32"/>
        <v>1.6473504029142064E-2</v>
      </c>
      <c r="R82" s="186"/>
    </row>
    <row r="83" spans="1:18" ht="15.75" thickBot="1" x14ac:dyDescent="0.3">
      <c r="A83" s="385"/>
      <c r="B83" s="72" t="s">
        <v>50</v>
      </c>
      <c r="C83" s="31">
        <v>82.5</v>
      </c>
      <c r="D83" s="31">
        <v>2</v>
      </c>
      <c r="E83" s="31">
        <v>28</v>
      </c>
      <c r="F83" s="31">
        <f>'[2]TOTALS BOTIGA 2021'!$B$6-'[2]TOTALS BOTIGA 2021'!$F$22-'[2]TOTALS BOTIGA 2021'!$I$22</f>
        <v>94.999999999999943</v>
      </c>
      <c r="G83" s="31">
        <v>77</v>
      </c>
      <c r="H83" s="31">
        <v>71.14</v>
      </c>
      <c r="I83" s="31">
        <v>148.58000000000001</v>
      </c>
      <c r="J83" s="31">
        <v>472.64</v>
      </c>
      <c r="K83" s="31">
        <v>93.7</v>
      </c>
      <c r="L83" s="31">
        <v>81.5</v>
      </c>
      <c r="M83" s="31">
        <v>24</v>
      </c>
      <c r="N83" s="31">
        <v>55.52</v>
      </c>
      <c r="O83" s="70">
        <f t="shared" si="30"/>
        <v>1231.58</v>
      </c>
      <c r="P83" s="79">
        <f t="shared" si="32"/>
        <v>3.6450661322692743E-2</v>
      </c>
      <c r="R83" s="186" t="s">
        <v>78</v>
      </c>
    </row>
    <row r="84" spans="1:18" ht="15.75" thickBot="1" x14ac:dyDescent="0.3">
      <c r="B84" s="200"/>
      <c r="C84" s="204">
        <f>SUM(C76:C83)</f>
        <v>320</v>
      </c>
      <c r="D84" s="208">
        <f t="shared" ref="D84:O84" si="33">SUM(D76:D83)</f>
        <v>609.25</v>
      </c>
      <c r="E84" s="208">
        <f t="shared" si="33"/>
        <v>1452.5</v>
      </c>
      <c r="F84" s="208">
        <f t="shared" si="33"/>
        <v>2169.1299999999997</v>
      </c>
      <c r="G84" s="208">
        <f t="shared" si="33"/>
        <v>3125.5099999999998</v>
      </c>
      <c r="H84" s="208">
        <f t="shared" si="33"/>
        <v>1689.8900000000003</v>
      </c>
      <c r="I84" s="208">
        <f t="shared" si="33"/>
        <v>2934.48</v>
      </c>
      <c r="J84" s="208">
        <f t="shared" si="33"/>
        <v>6853.63</v>
      </c>
      <c r="K84" s="208">
        <f t="shared" si="33"/>
        <v>4521.6100000000006</v>
      </c>
      <c r="L84" s="208">
        <f t="shared" si="33"/>
        <v>4619.17</v>
      </c>
      <c r="M84" s="208">
        <f t="shared" si="33"/>
        <v>3542.06</v>
      </c>
      <c r="N84" s="208">
        <f t="shared" si="33"/>
        <v>1950.36</v>
      </c>
      <c r="O84" s="209">
        <f t="shared" si="33"/>
        <v>33787.589999999997</v>
      </c>
      <c r="P84" s="79"/>
      <c r="R84" s="186">
        <f>SUM(H84:K84)</f>
        <v>15999.61</v>
      </c>
    </row>
    <row r="85" spans="1:18" ht="15.75" thickBot="1" x14ac:dyDescent="0.3">
      <c r="B85" s="200"/>
      <c r="C85" s="31"/>
      <c r="D85" s="31"/>
      <c r="E85" s="31"/>
      <c r="F85" s="31"/>
      <c r="G85" s="31"/>
      <c r="H85" s="31"/>
      <c r="I85" s="31"/>
      <c r="J85" s="31"/>
      <c r="K85" s="31"/>
      <c r="L85" s="31"/>
      <c r="M85" s="31"/>
      <c r="N85" s="31"/>
      <c r="O85" s="201"/>
      <c r="P85" s="79"/>
    </row>
    <row r="86" spans="1:18" ht="15.75" thickBot="1" x14ac:dyDescent="0.3">
      <c r="A86" s="406">
        <v>2020</v>
      </c>
      <c r="B86" s="407"/>
      <c r="C86" s="407"/>
      <c r="D86" s="407"/>
      <c r="E86" s="407"/>
      <c r="F86" s="407"/>
      <c r="G86" s="407"/>
      <c r="H86" s="407"/>
      <c r="I86" s="407"/>
      <c r="J86" s="407"/>
      <c r="K86" s="407"/>
      <c r="L86" s="407"/>
      <c r="M86" s="407"/>
      <c r="N86" s="407"/>
      <c r="O86" s="408"/>
    </row>
    <row r="87" spans="1:18" ht="15.75" thickBot="1" x14ac:dyDescent="0.3">
      <c r="A87" s="409"/>
      <c r="B87" s="382"/>
      <c r="C87" s="113" t="s">
        <v>37</v>
      </c>
      <c r="D87" s="113" t="s">
        <v>38</v>
      </c>
      <c r="E87" s="113" t="s">
        <v>39</v>
      </c>
      <c r="F87" s="113" t="s">
        <v>40</v>
      </c>
      <c r="G87" s="113" t="s">
        <v>41</v>
      </c>
      <c r="H87" s="113" t="s">
        <v>42</v>
      </c>
      <c r="I87" s="113" t="s">
        <v>43</v>
      </c>
      <c r="J87" s="113" t="s">
        <v>44</v>
      </c>
      <c r="K87" s="113" t="s">
        <v>36</v>
      </c>
      <c r="L87" s="113" t="s">
        <v>35</v>
      </c>
      <c r="M87" s="113" t="s">
        <v>33</v>
      </c>
      <c r="N87" s="113" t="s">
        <v>34</v>
      </c>
      <c r="O87" s="114" t="s">
        <v>49</v>
      </c>
      <c r="P87" s="412" t="s">
        <v>52</v>
      </c>
      <c r="Q87" s="413"/>
    </row>
    <row r="88" spans="1:18" x14ac:dyDescent="0.25">
      <c r="A88" s="383" t="s">
        <v>48</v>
      </c>
      <c r="B88" s="74" t="s">
        <v>47</v>
      </c>
      <c r="C88" s="75">
        <v>11</v>
      </c>
      <c r="D88" s="75">
        <v>18</v>
      </c>
      <c r="E88" s="75">
        <v>8</v>
      </c>
      <c r="F88" s="75">
        <v>0</v>
      </c>
      <c r="G88" s="75">
        <v>0</v>
      </c>
      <c r="H88" s="75">
        <v>12</v>
      </c>
      <c r="I88" s="75">
        <v>114</v>
      </c>
      <c r="J88" s="75">
        <v>100</v>
      </c>
      <c r="K88" s="75">
        <v>115</v>
      </c>
      <c r="L88" s="75">
        <v>63</v>
      </c>
      <c r="M88" s="75">
        <v>0</v>
      </c>
      <c r="N88" s="75">
        <f>'[3]RESUM ANUAL'!$N$3</f>
        <v>53</v>
      </c>
      <c r="O88" s="88">
        <f>SUM(C88:N88)</f>
        <v>494</v>
      </c>
      <c r="P88" s="95">
        <f>O88/($O$88+$O$89)</f>
        <v>0.14406532516768739</v>
      </c>
    </row>
    <row r="89" spans="1:18" s="115" customFormat="1" ht="15.75" thickBot="1" x14ac:dyDescent="0.3">
      <c r="A89" s="384"/>
      <c r="B89" s="173" t="s">
        <v>55</v>
      </c>
      <c r="C89" s="77">
        <v>244</v>
      </c>
      <c r="D89" s="77">
        <v>772</v>
      </c>
      <c r="E89" s="77">
        <v>211</v>
      </c>
      <c r="F89" s="77">
        <v>0</v>
      </c>
      <c r="G89" s="77">
        <v>18</v>
      </c>
      <c r="H89" s="77">
        <v>96</v>
      </c>
      <c r="I89" s="77">
        <v>282</v>
      </c>
      <c r="J89" s="77">
        <v>448</v>
      </c>
      <c r="K89" s="77">
        <v>239</v>
      </c>
      <c r="L89" s="77">
        <v>337</v>
      </c>
      <c r="M89" s="77">
        <v>104</v>
      </c>
      <c r="N89" s="77">
        <v>184</v>
      </c>
      <c r="O89" s="90">
        <f>SUM(C89:N89)</f>
        <v>2935</v>
      </c>
      <c r="P89" s="95">
        <f>O89/($O$88+$O$89)</f>
        <v>0.85593467483231267</v>
      </c>
      <c r="Q89"/>
    </row>
    <row r="90" spans="1:18" ht="15.75" thickBot="1" x14ac:dyDescent="0.3">
      <c r="A90" s="284"/>
      <c r="B90" s="286"/>
      <c r="C90" s="270">
        <f>SUM(C88:C89)</f>
        <v>255</v>
      </c>
      <c r="D90" s="270">
        <f t="shared" ref="D90:O90" si="34">SUM(D88:D89)</f>
        <v>790</v>
      </c>
      <c r="E90" s="270">
        <f t="shared" si="34"/>
        <v>219</v>
      </c>
      <c r="F90" s="270">
        <f t="shared" si="34"/>
        <v>0</v>
      </c>
      <c r="G90" s="270">
        <f t="shared" si="34"/>
        <v>18</v>
      </c>
      <c r="H90" s="270">
        <f t="shared" si="34"/>
        <v>108</v>
      </c>
      <c r="I90" s="270">
        <f t="shared" si="34"/>
        <v>396</v>
      </c>
      <c r="J90" s="270">
        <f t="shared" si="34"/>
        <v>548</v>
      </c>
      <c r="K90" s="270">
        <f t="shared" si="34"/>
        <v>354</v>
      </c>
      <c r="L90" s="270">
        <f t="shared" si="34"/>
        <v>400</v>
      </c>
      <c r="M90" s="270">
        <f t="shared" si="34"/>
        <v>104</v>
      </c>
      <c r="N90" s="270">
        <f t="shared" si="34"/>
        <v>237</v>
      </c>
      <c r="O90" s="89">
        <f t="shared" si="34"/>
        <v>3429</v>
      </c>
      <c r="P90" s="95"/>
    </row>
    <row r="91" spans="1:18" ht="15.75" thickBot="1" x14ac:dyDescent="0.3">
      <c r="A91" s="410"/>
      <c r="B91" s="411"/>
      <c r="C91" s="271" t="s">
        <v>37</v>
      </c>
      <c r="D91" s="272" t="s">
        <v>38</v>
      </c>
      <c r="E91" s="272" t="s">
        <v>39</v>
      </c>
      <c r="F91" s="272" t="s">
        <v>40</v>
      </c>
      <c r="G91" s="272" t="s">
        <v>41</v>
      </c>
      <c r="H91" s="272" t="s">
        <v>42</v>
      </c>
      <c r="I91" s="272" t="s">
        <v>43</v>
      </c>
      <c r="J91" s="272" t="s">
        <v>44</v>
      </c>
      <c r="K91" s="272" t="s">
        <v>36</v>
      </c>
      <c r="L91" s="272" t="s">
        <v>35</v>
      </c>
      <c r="M91" s="272" t="s">
        <v>33</v>
      </c>
      <c r="N91" s="272" t="s">
        <v>34</v>
      </c>
      <c r="O91" s="273" t="s">
        <v>49</v>
      </c>
      <c r="P91" s="412" t="s">
        <v>52</v>
      </c>
      <c r="Q91" s="413"/>
      <c r="R91" s="100"/>
    </row>
    <row r="92" spans="1:18" x14ac:dyDescent="0.25">
      <c r="A92" s="383" t="s">
        <v>30</v>
      </c>
      <c r="B92" s="73" t="s">
        <v>27</v>
      </c>
      <c r="C92" s="75">
        <v>137</v>
      </c>
      <c r="D92" s="75">
        <v>141</v>
      </c>
      <c r="E92" s="75">
        <v>148</v>
      </c>
      <c r="F92" s="75">
        <v>0</v>
      </c>
      <c r="G92" s="75">
        <v>0</v>
      </c>
      <c r="H92" s="75">
        <v>74</v>
      </c>
      <c r="I92" s="75">
        <v>432</v>
      </c>
      <c r="J92" s="75">
        <v>815</v>
      </c>
      <c r="K92" s="75">
        <v>704</v>
      </c>
      <c r="L92" s="75">
        <v>525</v>
      </c>
      <c r="M92" s="75">
        <v>84</v>
      </c>
      <c r="N92" s="75">
        <v>140</v>
      </c>
      <c r="O92" s="88">
        <f t="shared" ref="O92:O106" si="35">SUM(C92:N92)</f>
        <v>3200</v>
      </c>
      <c r="P92" s="95">
        <f>O92/($O$92+$O$93+$O$94+$O$95+$O$96+$O$97)</f>
        <v>0.39389463318562284</v>
      </c>
    </row>
    <row r="93" spans="1:18" x14ac:dyDescent="0.25">
      <c r="A93" s="384"/>
      <c r="B93" s="71" t="s">
        <v>45</v>
      </c>
      <c r="C93" s="68">
        <v>42</v>
      </c>
      <c r="D93" s="68">
        <v>74</v>
      </c>
      <c r="E93" s="98">
        <v>39</v>
      </c>
      <c r="F93" s="98">
        <v>0</v>
      </c>
      <c r="G93" s="68">
        <v>0</v>
      </c>
      <c r="H93" s="68">
        <v>39</v>
      </c>
      <c r="I93" s="68">
        <v>67</v>
      </c>
      <c r="J93" s="68">
        <v>164</v>
      </c>
      <c r="K93" s="68">
        <v>171</v>
      </c>
      <c r="L93" s="68">
        <v>110</v>
      </c>
      <c r="M93" s="68">
        <v>42</v>
      </c>
      <c r="N93" s="68">
        <v>57</v>
      </c>
      <c r="O93" s="89">
        <f t="shared" si="35"/>
        <v>805</v>
      </c>
      <c r="P93" s="95">
        <f>O93/($O$92+$O$93+$O$94+$O$95+$O$96+$O$97)</f>
        <v>9.9089118660758244E-2</v>
      </c>
      <c r="Q93" s="87"/>
    </row>
    <row r="94" spans="1:18" x14ac:dyDescent="0.25">
      <c r="A94" s="384"/>
      <c r="B94" s="71" t="s">
        <v>28</v>
      </c>
      <c r="C94" s="68">
        <v>39</v>
      </c>
      <c r="D94" s="68">
        <v>45</v>
      </c>
      <c r="E94" s="68">
        <v>37</v>
      </c>
      <c r="F94" s="68">
        <v>0</v>
      </c>
      <c r="G94" s="68">
        <v>0</v>
      </c>
      <c r="H94" s="68">
        <v>11</v>
      </c>
      <c r="I94" s="68">
        <v>108</v>
      </c>
      <c r="J94" s="68">
        <v>327</v>
      </c>
      <c r="K94" s="68">
        <v>159</v>
      </c>
      <c r="L94" s="68">
        <v>101</v>
      </c>
      <c r="M94" s="68">
        <v>6</v>
      </c>
      <c r="N94" s="68">
        <v>33</v>
      </c>
      <c r="O94" s="89">
        <f t="shared" si="35"/>
        <v>866</v>
      </c>
      <c r="P94" s="95">
        <f t="shared" ref="P94:P97" si="36">O94/($O$92+$O$93+$O$94+$O$95+$O$96+$O$97)</f>
        <v>0.10659773510585918</v>
      </c>
    </row>
    <row r="95" spans="1:18" x14ac:dyDescent="0.25">
      <c r="A95" s="384"/>
      <c r="B95" s="71" t="s">
        <v>29</v>
      </c>
      <c r="C95" s="68">
        <v>5</v>
      </c>
      <c r="D95" s="68">
        <v>5</v>
      </c>
      <c r="E95" s="68">
        <v>37</v>
      </c>
      <c r="F95" s="68">
        <v>0</v>
      </c>
      <c r="G95" s="68">
        <v>0</v>
      </c>
      <c r="H95" s="68">
        <v>2</v>
      </c>
      <c r="I95" s="68">
        <v>36</v>
      </c>
      <c r="J95" s="68">
        <v>25</v>
      </c>
      <c r="K95" s="68">
        <v>16</v>
      </c>
      <c r="L95" s="68">
        <v>5</v>
      </c>
      <c r="M95" s="68">
        <v>0</v>
      </c>
      <c r="N95" s="68">
        <v>5</v>
      </c>
      <c r="O95" s="89">
        <f t="shared" si="35"/>
        <v>136</v>
      </c>
      <c r="P95" s="95">
        <f t="shared" si="36"/>
        <v>1.674052191038897E-2</v>
      </c>
    </row>
    <row r="96" spans="1:18" s="210" customFormat="1" x14ac:dyDescent="0.25">
      <c r="A96" s="384"/>
      <c r="B96" s="71" t="s">
        <v>46</v>
      </c>
      <c r="C96" s="68">
        <v>681</v>
      </c>
      <c r="D96" s="68">
        <v>717</v>
      </c>
      <c r="E96" s="68">
        <v>142</v>
      </c>
      <c r="F96" s="68">
        <v>0</v>
      </c>
      <c r="G96" s="68">
        <v>0</v>
      </c>
      <c r="H96" s="68">
        <v>0</v>
      </c>
      <c r="I96" s="68">
        <v>27</v>
      </c>
      <c r="J96" s="68">
        <v>12</v>
      </c>
      <c r="K96" s="68">
        <v>22</v>
      </c>
      <c r="L96" s="68">
        <v>0</v>
      </c>
      <c r="M96" s="68">
        <v>74</v>
      </c>
      <c r="N96" s="68">
        <v>0</v>
      </c>
      <c r="O96" s="89">
        <f t="shared" si="35"/>
        <v>1675</v>
      </c>
      <c r="P96" s="95">
        <f t="shared" si="36"/>
        <v>0.20617922205809947</v>
      </c>
      <c r="Q96"/>
    </row>
    <row r="97" spans="1:18" s="115" customFormat="1" ht="15.75" thickBot="1" x14ac:dyDescent="0.3">
      <c r="A97" s="385"/>
      <c r="B97" s="72" t="s">
        <v>32</v>
      </c>
      <c r="C97" s="77">
        <v>132</v>
      </c>
      <c r="D97" s="77">
        <v>393</v>
      </c>
      <c r="E97" s="77">
        <v>0</v>
      </c>
      <c r="F97" s="77">
        <v>0</v>
      </c>
      <c r="G97" s="77">
        <v>0</v>
      </c>
      <c r="H97" s="77">
        <v>0</v>
      </c>
      <c r="I97" s="77">
        <v>72</v>
      </c>
      <c r="J97" s="77">
        <v>246</v>
      </c>
      <c r="K97" s="77">
        <v>307</v>
      </c>
      <c r="L97" s="77">
        <v>260</v>
      </c>
      <c r="M97" s="77">
        <v>0</v>
      </c>
      <c r="N97" s="77">
        <v>32</v>
      </c>
      <c r="O97" s="90">
        <f t="shared" si="35"/>
        <v>1442</v>
      </c>
      <c r="P97" s="95">
        <f t="shared" si="36"/>
        <v>0.17749876907927128</v>
      </c>
      <c r="Q97"/>
      <c r="R97" s="186" t="s">
        <v>78</v>
      </c>
    </row>
    <row r="98" spans="1:18" ht="15.75" thickBot="1" x14ac:dyDescent="0.3">
      <c r="A98" s="275"/>
      <c r="B98" s="72"/>
      <c r="C98" s="236">
        <f>SUM(C92:C97)</f>
        <v>1036</v>
      </c>
      <c r="D98" s="236">
        <f t="shared" ref="D98:O98" si="37">SUM(D92:D97)</f>
        <v>1375</v>
      </c>
      <c r="E98" s="236">
        <f t="shared" si="37"/>
        <v>403</v>
      </c>
      <c r="F98" s="236">
        <f t="shared" si="37"/>
        <v>0</v>
      </c>
      <c r="G98" s="236">
        <f t="shared" si="37"/>
        <v>0</v>
      </c>
      <c r="H98" s="236">
        <f t="shared" si="37"/>
        <v>126</v>
      </c>
      <c r="I98" s="236">
        <f t="shared" si="37"/>
        <v>742</v>
      </c>
      <c r="J98" s="236">
        <f t="shared" si="37"/>
        <v>1589</v>
      </c>
      <c r="K98" s="236">
        <f t="shared" si="37"/>
        <v>1379</v>
      </c>
      <c r="L98" s="236">
        <f t="shared" si="37"/>
        <v>1001</v>
      </c>
      <c r="M98" s="236">
        <f t="shared" si="37"/>
        <v>206</v>
      </c>
      <c r="N98" s="236">
        <f t="shared" si="37"/>
        <v>267</v>
      </c>
      <c r="O98" s="236">
        <f t="shared" si="37"/>
        <v>8124</v>
      </c>
      <c r="P98" s="235"/>
      <c r="Q98" s="210"/>
      <c r="R98">
        <f>SUM(I98:K98)</f>
        <v>3710</v>
      </c>
    </row>
    <row r="99" spans="1:18" ht="15.75" thickBot="1" x14ac:dyDescent="0.3">
      <c r="A99" s="276"/>
      <c r="B99" s="274"/>
      <c r="C99" s="116" t="s">
        <v>37</v>
      </c>
      <c r="D99" s="116" t="s">
        <v>38</v>
      </c>
      <c r="E99" s="116" t="s">
        <v>39</v>
      </c>
      <c r="F99" s="116" t="s">
        <v>40</v>
      </c>
      <c r="G99" s="116" t="s">
        <v>41</v>
      </c>
      <c r="H99" s="116" t="s">
        <v>42</v>
      </c>
      <c r="I99" s="116" t="s">
        <v>43</v>
      </c>
      <c r="J99" s="116" t="s">
        <v>44</v>
      </c>
      <c r="K99" s="116" t="s">
        <v>36</v>
      </c>
      <c r="L99" s="116" t="s">
        <v>35</v>
      </c>
      <c r="M99" s="116" t="s">
        <v>33</v>
      </c>
      <c r="N99" s="116" t="s">
        <v>34</v>
      </c>
      <c r="O99" s="117" t="s">
        <v>49</v>
      </c>
      <c r="P99" s="118" t="s">
        <v>51</v>
      </c>
      <c r="Q99" s="118" t="s">
        <v>16</v>
      </c>
    </row>
    <row r="100" spans="1:18" x14ac:dyDescent="0.25">
      <c r="A100" s="383" t="s">
        <v>31</v>
      </c>
      <c r="B100" s="73" t="s">
        <v>27</v>
      </c>
      <c r="C100" s="96">
        <v>390</v>
      </c>
      <c r="D100" s="96">
        <v>412</v>
      </c>
      <c r="E100" s="96">
        <v>411</v>
      </c>
      <c r="F100" s="96">
        <v>0</v>
      </c>
      <c r="G100" s="96">
        <v>0</v>
      </c>
      <c r="H100" s="96">
        <v>195</v>
      </c>
      <c r="I100" s="96">
        <v>1070</v>
      </c>
      <c r="J100" s="96">
        <v>2382</v>
      </c>
      <c r="K100" s="96">
        <v>2019</v>
      </c>
      <c r="L100" s="96">
        <v>689</v>
      </c>
      <c r="M100" s="96">
        <v>0</v>
      </c>
      <c r="N100" s="96">
        <v>225</v>
      </c>
      <c r="O100" s="97">
        <f t="shared" si="35"/>
        <v>7793</v>
      </c>
      <c r="P100" s="79">
        <f>O100/($O$100+$O$101+$O$102+$O$103+$O$104+$O$106+$O$105)</f>
        <v>0.38638408849202122</v>
      </c>
      <c r="Q100" s="80">
        <f>O100/O92</f>
        <v>2.4353125000000002</v>
      </c>
    </row>
    <row r="101" spans="1:18" x14ac:dyDescent="0.25">
      <c r="A101" s="384"/>
      <c r="B101" s="71" t="s">
        <v>45</v>
      </c>
      <c r="C101" s="69">
        <v>142</v>
      </c>
      <c r="D101" s="69">
        <v>322</v>
      </c>
      <c r="E101" s="69">
        <v>170</v>
      </c>
      <c r="F101" s="69">
        <v>0</v>
      </c>
      <c r="G101" s="69">
        <v>0</v>
      </c>
      <c r="H101" s="69">
        <v>183</v>
      </c>
      <c r="I101" s="69">
        <v>311</v>
      </c>
      <c r="J101" s="69">
        <v>844</v>
      </c>
      <c r="K101" s="69">
        <v>802</v>
      </c>
      <c r="L101" s="69">
        <v>278</v>
      </c>
      <c r="M101" s="69">
        <v>0</v>
      </c>
      <c r="N101" s="69">
        <v>114</v>
      </c>
      <c r="O101" s="70">
        <f t="shared" si="35"/>
        <v>3166</v>
      </c>
      <c r="P101" s="79">
        <f t="shared" ref="P101:P106" si="38">O101/($O$100+$O$101+$O$102+$O$103+$O$104+$O$106+$O$105)</f>
        <v>0.15697318416088016</v>
      </c>
      <c r="Q101" s="80">
        <f>O101/O93</f>
        <v>3.9329192546583851</v>
      </c>
    </row>
    <row r="102" spans="1:18" x14ac:dyDescent="0.25">
      <c r="A102" s="384"/>
      <c r="B102" s="71" t="s">
        <v>28</v>
      </c>
      <c r="C102" s="31">
        <v>101.5</v>
      </c>
      <c r="D102" s="31">
        <v>133</v>
      </c>
      <c r="E102" s="31">
        <v>61.5</v>
      </c>
      <c r="F102" s="31">
        <v>0</v>
      </c>
      <c r="G102" s="31">
        <v>0</v>
      </c>
      <c r="H102" s="31">
        <v>32.5</v>
      </c>
      <c r="I102" s="31">
        <v>259.5</v>
      </c>
      <c r="J102" s="31">
        <v>902</v>
      </c>
      <c r="K102" s="31">
        <v>475.5</v>
      </c>
      <c r="L102" s="31">
        <v>223.5</v>
      </c>
      <c r="M102" s="31">
        <v>14</v>
      </c>
      <c r="N102" s="31">
        <v>89.5</v>
      </c>
      <c r="O102" s="70">
        <f t="shared" si="35"/>
        <v>2292.5</v>
      </c>
      <c r="P102" s="79">
        <f t="shared" si="38"/>
        <v>0.11366425290234294</v>
      </c>
      <c r="Q102" s="80">
        <f>O102/O94</f>
        <v>2.6472286374133951</v>
      </c>
    </row>
    <row r="103" spans="1:18" x14ac:dyDescent="0.25">
      <c r="A103" s="384"/>
      <c r="B103" s="71" t="s">
        <v>29</v>
      </c>
      <c r="C103" s="31">
        <v>7</v>
      </c>
      <c r="D103" s="31">
        <v>9.5</v>
      </c>
      <c r="E103" s="31">
        <v>61.5</v>
      </c>
      <c r="F103" s="31">
        <v>0</v>
      </c>
      <c r="G103" s="31">
        <v>0</v>
      </c>
      <c r="H103" s="31">
        <v>4</v>
      </c>
      <c r="I103" s="31">
        <v>57.5</v>
      </c>
      <c r="J103" s="31">
        <v>45.5</v>
      </c>
      <c r="K103" s="31">
        <v>31.5</v>
      </c>
      <c r="L103" s="31">
        <v>10</v>
      </c>
      <c r="M103" s="31">
        <v>0</v>
      </c>
      <c r="N103" s="31">
        <v>9</v>
      </c>
      <c r="O103" s="70">
        <f t="shared" si="35"/>
        <v>235.5</v>
      </c>
      <c r="P103" s="79">
        <f t="shared" si="38"/>
        <v>1.1676306023337739E-2</v>
      </c>
      <c r="Q103" s="80">
        <f>O103/O95</f>
        <v>1.7316176470588236</v>
      </c>
    </row>
    <row r="104" spans="1:18" x14ac:dyDescent="0.25">
      <c r="A104" s="384"/>
      <c r="B104" s="71" t="s">
        <v>46</v>
      </c>
      <c r="C104" s="31">
        <v>1660.5</v>
      </c>
      <c r="D104" s="31">
        <v>2606</v>
      </c>
      <c r="E104" s="31">
        <v>593</v>
      </c>
      <c r="F104" s="31">
        <v>0</v>
      </c>
      <c r="G104" s="31">
        <v>0</v>
      </c>
      <c r="H104" s="31">
        <v>0</v>
      </c>
      <c r="I104" s="31">
        <v>210</v>
      </c>
      <c r="J104" s="31">
        <v>170</v>
      </c>
      <c r="K104" s="31">
        <v>126</v>
      </c>
      <c r="L104" s="31">
        <v>0</v>
      </c>
      <c r="M104" s="31">
        <v>398</v>
      </c>
      <c r="N104" s="31">
        <v>0</v>
      </c>
      <c r="O104" s="70">
        <f t="shared" si="35"/>
        <v>5763.5</v>
      </c>
      <c r="P104" s="79">
        <f t="shared" si="38"/>
        <v>0.28575961683867113</v>
      </c>
      <c r="Q104" s="80">
        <f>O104/O96</f>
        <v>3.4408955223880597</v>
      </c>
    </row>
    <row r="105" spans="1:18" s="210" customFormat="1" x14ac:dyDescent="0.25">
      <c r="A105" s="384"/>
      <c r="B105" s="71" t="s">
        <v>53</v>
      </c>
      <c r="C105" s="31">
        <v>5</v>
      </c>
      <c r="D105" s="31">
        <v>13</v>
      </c>
      <c r="E105" s="31">
        <v>24</v>
      </c>
      <c r="F105" s="31">
        <v>0</v>
      </c>
      <c r="G105" s="31">
        <v>0</v>
      </c>
      <c r="H105" s="31">
        <v>7</v>
      </c>
      <c r="I105" s="31">
        <v>58</v>
      </c>
      <c r="J105" s="31">
        <v>95.2</v>
      </c>
      <c r="K105" s="31">
        <v>47.4</v>
      </c>
      <c r="L105" s="31">
        <v>20</v>
      </c>
      <c r="M105" s="31">
        <v>2</v>
      </c>
      <c r="N105" s="31">
        <v>0</v>
      </c>
      <c r="O105" s="70">
        <f t="shared" si="35"/>
        <v>271.60000000000002</v>
      </c>
      <c r="P105" s="79">
        <f>O105/($O$100+$O$101+$O$102+$O$103+$O$104+$O$106+$O$105)</f>
        <v>1.3466177137743228E-2</v>
      </c>
      <c r="Q105"/>
    </row>
    <row r="106" spans="1:18" ht="15.75" thickBot="1" x14ac:dyDescent="0.3">
      <c r="A106" s="385"/>
      <c r="B106" s="72" t="s">
        <v>50</v>
      </c>
      <c r="C106" s="94">
        <v>94.5</v>
      </c>
      <c r="D106" s="94">
        <v>191.5</v>
      </c>
      <c r="E106" s="94">
        <v>32.700000000000003</v>
      </c>
      <c r="F106" s="94">
        <v>0</v>
      </c>
      <c r="G106" s="94">
        <v>0</v>
      </c>
      <c r="H106" s="94">
        <v>26</v>
      </c>
      <c r="I106" s="94">
        <v>22.5</v>
      </c>
      <c r="J106" s="94">
        <v>76.739999999999995</v>
      </c>
      <c r="K106" s="94">
        <v>58.51</v>
      </c>
      <c r="L106" s="94">
        <v>73</v>
      </c>
      <c r="M106" s="94">
        <v>52</v>
      </c>
      <c r="N106" s="94">
        <v>19.5</v>
      </c>
      <c r="O106" s="91">
        <f t="shared" si="35"/>
        <v>646.95000000000005</v>
      </c>
      <c r="P106" s="79">
        <f t="shared" si="38"/>
        <v>3.2076374445003608E-2</v>
      </c>
      <c r="R106" s="186" t="s">
        <v>78</v>
      </c>
    </row>
    <row r="107" spans="1:18" x14ac:dyDescent="0.25">
      <c r="A107" s="288"/>
      <c r="B107" s="200"/>
      <c r="C107" s="237">
        <f>SUM(C100:C106)</f>
        <v>2400.5</v>
      </c>
      <c r="D107" s="237">
        <f t="shared" ref="D107:O107" si="39">SUM(D100:D106)</f>
        <v>3687</v>
      </c>
      <c r="E107" s="237">
        <f t="shared" si="39"/>
        <v>1353.7</v>
      </c>
      <c r="F107" s="237">
        <f t="shared" si="39"/>
        <v>0</v>
      </c>
      <c r="G107" s="237">
        <f t="shared" si="39"/>
        <v>0</v>
      </c>
      <c r="H107" s="237">
        <f t="shared" si="39"/>
        <v>447.5</v>
      </c>
      <c r="I107" s="237">
        <f t="shared" si="39"/>
        <v>1988.5</v>
      </c>
      <c r="J107" s="237">
        <f t="shared" si="39"/>
        <v>4515.4399999999996</v>
      </c>
      <c r="K107" s="237">
        <f t="shared" si="39"/>
        <v>3559.9100000000003</v>
      </c>
      <c r="L107" s="237">
        <f t="shared" si="39"/>
        <v>1293.5</v>
      </c>
      <c r="M107" s="237">
        <f t="shared" si="39"/>
        <v>466</v>
      </c>
      <c r="N107" s="237">
        <f t="shared" si="39"/>
        <v>457</v>
      </c>
      <c r="O107" s="237">
        <f t="shared" si="39"/>
        <v>20169.05</v>
      </c>
      <c r="P107" s="238"/>
      <c r="Q107" s="210"/>
      <c r="R107" s="186">
        <f>SUM(H107:K107)</f>
        <v>10511.35</v>
      </c>
    </row>
    <row r="108" spans="1:18" ht="15.75" thickBot="1" x14ac:dyDescent="0.3">
      <c r="A108" s="288"/>
      <c r="B108" s="200"/>
      <c r="C108" s="237"/>
      <c r="D108" s="237"/>
      <c r="E108" s="237"/>
      <c r="F108" s="237"/>
      <c r="G108" s="237"/>
      <c r="H108" s="237"/>
      <c r="I108" s="237"/>
      <c r="J108" s="237"/>
      <c r="K108" s="237"/>
      <c r="L108" s="237"/>
      <c r="M108" s="237"/>
      <c r="N108" s="237"/>
      <c r="O108" s="237"/>
      <c r="P108" s="238"/>
      <c r="Q108" s="210"/>
    </row>
    <row r="109" spans="1:18" s="115" customFormat="1" ht="15.75" thickBot="1" x14ac:dyDescent="0.3">
      <c r="A109" s="406">
        <v>2019</v>
      </c>
      <c r="B109" s="407"/>
      <c r="C109" s="407"/>
      <c r="D109" s="407"/>
      <c r="E109" s="407"/>
      <c r="F109" s="407"/>
      <c r="G109" s="407"/>
      <c r="H109" s="407"/>
      <c r="I109" s="407"/>
      <c r="J109" s="407"/>
      <c r="K109" s="407"/>
      <c r="L109" s="407"/>
      <c r="M109" s="407"/>
      <c r="N109" s="407"/>
      <c r="O109" s="408"/>
      <c r="P109"/>
      <c r="Q109"/>
    </row>
    <row r="110" spans="1:18" ht="15.75" thickBot="1" x14ac:dyDescent="0.3">
      <c r="A110" s="381"/>
      <c r="B110" s="382"/>
      <c r="C110" s="113" t="s">
        <v>37</v>
      </c>
      <c r="D110" s="113" t="s">
        <v>38</v>
      </c>
      <c r="E110" s="113" t="s">
        <v>39</v>
      </c>
      <c r="F110" s="113" t="s">
        <v>40</v>
      </c>
      <c r="G110" s="113" t="s">
        <v>41</v>
      </c>
      <c r="H110" s="113" t="s">
        <v>42</v>
      </c>
      <c r="I110" s="113" t="s">
        <v>43</v>
      </c>
      <c r="J110" s="113" t="s">
        <v>44</v>
      </c>
      <c r="K110" s="113" t="s">
        <v>36</v>
      </c>
      <c r="L110" s="113" t="s">
        <v>35</v>
      </c>
      <c r="M110" s="113" t="s">
        <v>33</v>
      </c>
      <c r="N110" s="113" t="s">
        <v>34</v>
      </c>
      <c r="O110" s="114" t="s">
        <v>49</v>
      </c>
      <c r="P110" s="412" t="s">
        <v>52</v>
      </c>
      <c r="Q110" s="413"/>
    </row>
    <row r="111" spans="1:18" x14ac:dyDescent="0.25">
      <c r="A111" s="383" t="s">
        <v>48</v>
      </c>
      <c r="B111" s="74" t="s">
        <v>47</v>
      </c>
      <c r="C111" s="75">
        <v>5</v>
      </c>
      <c r="D111" s="75">
        <v>29</v>
      </c>
      <c r="E111" s="75">
        <v>42</v>
      </c>
      <c r="F111" s="75">
        <v>14</v>
      </c>
      <c r="G111" s="75">
        <v>10</v>
      </c>
      <c r="H111" s="75">
        <v>13</v>
      </c>
      <c r="I111" s="75">
        <v>71</v>
      </c>
      <c r="J111" s="75">
        <v>161</v>
      </c>
      <c r="K111" s="75">
        <v>126</v>
      </c>
      <c r="L111" s="75">
        <v>50</v>
      </c>
      <c r="M111" s="75">
        <v>2</v>
      </c>
      <c r="N111" s="75">
        <v>0</v>
      </c>
      <c r="O111" s="88">
        <f>SUM(C111:N111)</f>
        <v>523</v>
      </c>
      <c r="P111" s="95">
        <f>O111/($O$111+$O$112)</f>
        <v>8.461414010677884E-2</v>
      </c>
    </row>
    <row r="112" spans="1:18" s="115" customFormat="1" ht="15.75" thickBot="1" x14ac:dyDescent="0.3">
      <c r="A112" s="385"/>
      <c r="B112" s="76" t="s">
        <v>55</v>
      </c>
      <c r="C112" s="77">
        <v>398</v>
      </c>
      <c r="D112" s="77">
        <v>371</v>
      </c>
      <c r="E112" s="99">
        <v>477</v>
      </c>
      <c r="F112" s="99">
        <v>569</v>
      </c>
      <c r="G112" s="77">
        <v>627</v>
      </c>
      <c r="H112" s="77">
        <v>629</v>
      </c>
      <c r="I112" s="77">
        <v>339</v>
      </c>
      <c r="J112" s="77">
        <v>632</v>
      </c>
      <c r="K112" s="77">
        <v>653</v>
      </c>
      <c r="L112" s="77">
        <v>442</v>
      </c>
      <c r="M112" s="77">
        <v>489</v>
      </c>
      <c r="N112" s="77">
        <v>32</v>
      </c>
      <c r="O112" s="90">
        <f>SUM(C112:N112)</f>
        <v>5658</v>
      </c>
      <c r="P112" s="95">
        <f>O112/($O$111+$O$112)</f>
        <v>0.91538585989322119</v>
      </c>
      <c r="Q112"/>
    </row>
    <row r="113" spans="1:18" ht="15.75" thickBot="1" x14ac:dyDescent="0.3">
      <c r="A113" s="199"/>
      <c r="B113" s="196"/>
      <c r="C113" s="270">
        <f>SUM(C111:C112)</f>
        <v>403</v>
      </c>
      <c r="D113" s="270">
        <f t="shared" ref="D113:O113" si="40">SUM(D111:D112)</f>
        <v>400</v>
      </c>
      <c r="E113" s="270">
        <f t="shared" si="40"/>
        <v>519</v>
      </c>
      <c r="F113" s="270">
        <f t="shared" si="40"/>
        <v>583</v>
      </c>
      <c r="G113" s="270">
        <f t="shared" si="40"/>
        <v>637</v>
      </c>
      <c r="H113" s="270">
        <f t="shared" si="40"/>
        <v>642</v>
      </c>
      <c r="I113" s="270">
        <f t="shared" si="40"/>
        <v>410</v>
      </c>
      <c r="J113" s="270">
        <f t="shared" si="40"/>
        <v>793</v>
      </c>
      <c r="K113" s="270">
        <f t="shared" si="40"/>
        <v>779</v>
      </c>
      <c r="L113" s="270">
        <f t="shared" si="40"/>
        <v>492</v>
      </c>
      <c r="M113" s="270">
        <f t="shared" si="40"/>
        <v>491</v>
      </c>
      <c r="N113" s="270">
        <f t="shared" si="40"/>
        <v>32</v>
      </c>
      <c r="O113" s="90">
        <f t="shared" si="40"/>
        <v>6181</v>
      </c>
      <c r="P113" s="95"/>
    </row>
    <row r="114" spans="1:18" ht="15.75" thickBot="1" x14ac:dyDescent="0.3">
      <c r="A114" s="381"/>
      <c r="B114" s="382"/>
      <c r="C114" s="113" t="s">
        <v>37</v>
      </c>
      <c r="D114" s="113" t="s">
        <v>38</v>
      </c>
      <c r="E114" s="113" t="s">
        <v>39</v>
      </c>
      <c r="F114" s="113" t="s">
        <v>40</v>
      </c>
      <c r="G114" s="113" t="s">
        <v>41</v>
      </c>
      <c r="H114" s="113" t="s">
        <v>42</v>
      </c>
      <c r="I114" s="113" t="s">
        <v>43</v>
      </c>
      <c r="J114" s="113" t="s">
        <v>44</v>
      </c>
      <c r="K114" s="113" t="s">
        <v>36</v>
      </c>
      <c r="L114" s="113" t="s">
        <v>35</v>
      </c>
      <c r="M114" s="113" t="s">
        <v>33</v>
      </c>
      <c r="N114" s="113" t="s">
        <v>34</v>
      </c>
      <c r="O114" s="114" t="s">
        <v>49</v>
      </c>
      <c r="P114" s="412" t="s">
        <v>52</v>
      </c>
      <c r="Q114" s="413"/>
      <c r="R114" s="87"/>
    </row>
    <row r="115" spans="1:18" x14ac:dyDescent="0.25">
      <c r="A115" s="383" t="s">
        <v>30</v>
      </c>
      <c r="B115" s="125" t="s">
        <v>27</v>
      </c>
      <c r="C115" s="75">
        <v>44</v>
      </c>
      <c r="D115" s="75">
        <v>213</v>
      </c>
      <c r="E115" s="75">
        <v>156</v>
      </c>
      <c r="F115" s="75">
        <v>178</v>
      </c>
      <c r="G115" s="75">
        <v>176</v>
      </c>
      <c r="H115" s="75">
        <v>431</v>
      </c>
      <c r="I115" s="75">
        <v>657</v>
      </c>
      <c r="J115" s="75">
        <v>950</v>
      </c>
      <c r="K115" s="75">
        <v>567</v>
      </c>
      <c r="L115" s="75">
        <v>286</v>
      </c>
      <c r="M115" s="75">
        <v>419</v>
      </c>
      <c r="N115" s="75">
        <v>385</v>
      </c>
      <c r="O115" s="88">
        <f t="shared" ref="O115:O129" si="41">SUM(C115:N115)</f>
        <v>4462</v>
      </c>
      <c r="P115" s="87">
        <f t="shared" ref="P115:P120" si="42">O115/($O$115+$O$116+$O$117+$O$118+$O$119+$O$120)</f>
        <v>0.27997741105603313</v>
      </c>
    </row>
    <row r="116" spans="1:18" x14ac:dyDescent="0.25">
      <c r="A116" s="384"/>
      <c r="B116" s="126" t="s">
        <v>45</v>
      </c>
      <c r="C116" s="68">
        <v>61</v>
      </c>
      <c r="D116" s="68">
        <v>103</v>
      </c>
      <c r="E116" s="98">
        <v>123</v>
      </c>
      <c r="F116" s="98">
        <v>1600</v>
      </c>
      <c r="G116" s="68">
        <v>72</v>
      </c>
      <c r="H116" s="68">
        <v>92</v>
      </c>
      <c r="I116" s="68">
        <v>67</v>
      </c>
      <c r="J116" s="68">
        <v>68</v>
      </c>
      <c r="K116" s="68">
        <v>290</v>
      </c>
      <c r="L116" s="68">
        <v>155</v>
      </c>
      <c r="M116" s="68">
        <v>254</v>
      </c>
      <c r="N116" s="68">
        <v>90</v>
      </c>
      <c r="O116" s="89">
        <f t="shared" si="41"/>
        <v>2975</v>
      </c>
      <c r="P116" s="87">
        <f t="shared" si="42"/>
        <v>0.18667252305954696</v>
      </c>
    </row>
    <row r="117" spans="1:18" x14ac:dyDescent="0.25">
      <c r="A117" s="384"/>
      <c r="B117" s="126" t="s">
        <v>28</v>
      </c>
      <c r="C117" s="84">
        <v>54</v>
      </c>
      <c r="D117" s="84">
        <v>47</v>
      </c>
      <c r="E117" s="84">
        <v>90</v>
      </c>
      <c r="F117" s="84">
        <v>72</v>
      </c>
      <c r="G117" s="84">
        <v>51</v>
      </c>
      <c r="H117" s="84">
        <v>100</v>
      </c>
      <c r="I117" s="84">
        <v>119</v>
      </c>
      <c r="J117" s="84">
        <v>262</v>
      </c>
      <c r="K117" s="85">
        <f>'[4]TOTALS BOTIGA 2019'!$I$11</f>
        <v>77</v>
      </c>
      <c r="L117" s="84">
        <v>49</v>
      </c>
      <c r="M117" s="84">
        <v>71</v>
      </c>
      <c r="N117" s="84">
        <v>70</v>
      </c>
      <c r="O117" s="82">
        <f>SUM(C117:N117)</f>
        <v>1062</v>
      </c>
      <c r="P117" s="87">
        <f t="shared" si="42"/>
        <v>6.6637384702265171E-2</v>
      </c>
    </row>
    <row r="118" spans="1:18" x14ac:dyDescent="0.25">
      <c r="A118" s="384"/>
      <c r="B118" s="126" t="s">
        <v>29</v>
      </c>
      <c r="C118" s="84">
        <v>24</v>
      </c>
      <c r="D118" s="84">
        <v>13</v>
      </c>
      <c r="E118" s="84">
        <v>18</v>
      </c>
      <c r="F118" s="84">
        <v>15</v>
      </c>
      <c r="G118" s="84">
        <v>44</v>
      </c>
      <c r="H118" s="84">
        <v>14</v>
      </c>
      <c r="I118" s="84">
        <v>15</v>
      </c>
      <c r="J118" s="86">
        <f>'[4]TOTALS BOTIGA 2019'!$F$10</f>
        <v>46</v>
      </c>
      <c r="K118" s="86">
        <f>'[4]TOTALS BOTIGA 2019'!$F$11</f>
        <v>25</v>
      </c>
      <c r="L118" s="84">
        <v>20</v>
      </c>
      <c r="M118" s="84">
        <v>14</v>
      </c>
      <c r="N118" s="86">
        <f>'[4]TOTALS BOTIGA 2019'!$F$14</f>
        <v>8</v>
      </c>
      <c r="O118" s="82">
        <f>SUM(C118:N118)</f>
        <v>256</v>
      </c>
      <c r="P118" s="87">
        <f t="shared" si="42"/>
        <v>1.6063249043107235E-2</v>
      </c>
    </row>
    <row r="119" spans="1:18" x14ac:dyDescent="0.25">
      <c r="A119" s="384"/>
      <c r="B119" s="126" t="s">
        <v>46</v>
      </c>
      <c r="C119" s="68">
        <v>219</v>
      </c>
      <c r="D119" s="68">
        <v>510</v>
      </c>
      <c r="E119" s="68">
        <v>699</v>
      </c>
      <c r="F119" s="68">
        <v>573</v>
      </c>
      <c r="G119" s="68">
        <v>740</v>
      </c>
      <c r="H119" s="68">
        <v>393</v>
      </c>
      <c r="I119" s="68">
        <v>15</v>
      </c>
      <c r="J119" s="68">
        <v>0</v>
      </c>
      <c r="K119" s="68">
        <v>654</v>
      </c>
      <c r="L119" s="68">
        <v>1179</v>
      </c>
      <c r="M119" s="68">
        <v>877</v>
      </c>
      <c r="N119" s="68">
        <v>440</v>
      </c>
      <c r="O119" s="82">
        <f t="shared" si="41"/>
        <v>6299</v>
      </c>
      <c r="P119" s="87">
        <f t="shared" si="42"/>
        <v>0.39524377235364244</v>
      </c>
    </row>
    <row r="120" spans="1:18" s="115" customFormat="1" ht="15.75" thickBot="1" x14ac:dyDescent="0.3">
      <c r="A120" s="385"/>
      <c r="B120" s="127" t="s">
        <v>32</v>
      </c>
      <c r="C120" s="77"/>
      <c r="D120" s="77"/>
      <c r="E120" s="77"/>
      <c r="F120" s="77"/>
      <c r="G120" s="77"/>
      <c r="H120" s="77"/>
      <c r="I120" s="77"/>
      <c r="J120" s="77"/>
      <c r="K120" s="77"/>
      <c r="L120" s="77">
        <v>302</v>
      </c>
      <c r="M120" s="77">
        <v>318</v>
      </c>
      <c r="N120" s="77">
        <v>263</v>
      </c>
      <c r="O120" s="81">
        <f t="shared" si="41"/>
        <v>883</v>
      </c>
      <c r="P120" s="87">
        <f t="shared" si="42"/>
        <v>5.5405659785405036E-2</v>
      </c>
      <c r="Q120"/>
      <c r="R120" s="186" t="s">
        <v>78</v>
      </c>
    </row>
    <row r="121" spans="1:18" ht="15.75" thickBot="1" x14ac:dyDescent="0.3">
      <c r="A121" s="199"/>
      <c r="B121" s="200"/>
      <c r="C121" s="236">
        <f>SUM(C115:C120)</f>
        <v>402</v>
      </c>
      <c r="D121" s="236">
        <f t="shared" ref="D121:O121" si="43">SUM(D115:D120)</f>
        <v>886</v>
      </c>
      <c r="E121" s="236">
        <f t="shared" si="43"/>
        <v>1086</v>
      </c>
      <c r="F121" s="236">
        <f t="shared" si="43"/>
        <v>2438</v>
      </c>
      <c r="G121" s="236">
        <f t="shared" si="43"/>
        <v>1083</v>
      </c>
      <c r="H121" s="236">
        <f t="shared" si="43"/>
        <v>1030</v>
      </c>
      <c r="I121" s="236">
        <f t="shared" si="43"/>
        <v>873</v>
      </c>
      <c r="J121" s="236">
        <f t="shared" si="43"/>
        <v>1326</v>
      </c>
      <c r="K121" s="236">
        <f t="shared" si="43"/>
        <v>1613</v>
      </c>
      <c r="L121" s="236">
        <f t="shared" si="43"/>
        <v>1991</v>
      </c>
      <c r="M121" s="236">
        <f t="shared" si="43"/>
        <v>1953</v>
      </c>
      <c r="N121" s="236">
        <f t="shared" si="43"/>
        <v>1256</v>
      </c>
      <c r="O121" s="236">
        <f t="shared" si="43"/>
        <v>15937</v>
      </c>
      <c r="P121" s="87"/>
      <c r="R121">
        <f>SUM(H121:K121)</f>
        <v>4842</v>
      </c>
    </row>
    <row r="122" spans="1:18" ht="15.75" thickBot="1" x14ac:dyDescent="0.3">
      <c r="A122" s="381"/>
      <c r="B122" s="382"/>
      <c r="C122" s="116" t="s">
        <v>37</v>
      </c>
      <c r="D122" s="116" t="s">
        <v>38</v>
      </c>
      <c r="E122" s="116" t="s">
        <v>39</v>
      </c>
      <c r="F122" s="116" t="s">
        <v>40</v>
      </c>
      <c r="G122" s="116" t="s">
        <v>41</v>
      </c>
      <c r="H122" s="116" t="s">
        <v>42</v>
      </c>
      <c r="I122" s="116" t="s">
        <v>43</v>
      </c>
      <c r="J122" s="116" t="s">
        <v>44</v>
      </c>
      <c r="K122" s="116" t="s">
        <v>36</v>
      </c>
      <c r="L122" s="116" t="s">
        <v>35</v>
      </c>
      <c r="M122" s="116" t="s">
        <v>33</v>
      </c>
      <c r="N122" s="116" t="s">
        <v>34</v>
      </c>
      <c r="O122" s="117" t="s">
        <v>49</v>
      </c>
      <c r="P122" s="121" t="s">
        <v>51</v>
      </c>
      <c r="Q122" s="121" t="s">
        <v>16</v>
      </c>
    </row>
    <row r="123" spans="1:18" x14ac:dyDescent="0.25">
      <c r="A123" s="383" t="s">
        <v>31</v>
      </c>
      <c r="B123" s="71" t="s">
        <v>27</v>
      </c>
      <c r="C123" s="78">
        <v>88</v>
      </c>
      <c r="D123" s="78">
        <v>435</v>
      </c>
      <c r="E123" s="78">
        <v>352</v>
      </c>
      <c r="F123" s="78">
        <v>378</v>
      </c>
      <c r="G123" s="78">
        <v>393</v>
      </c>
      <c r="H123" s="78">
        <v>1078</v>
      </c>
      <c r="I123" s="78">
        <v>1567</v>
      </c>
      <c r="J123" s="78">
        <v>2278</v>
      </c>
      <c r="K123" s="78">
        <v>1152</v>
      </c>
      <c r="L123" s="78">
        <v>457</v>
      </c>
      <c r="M123" s="78">
        <v>1005</v>
      </c>
      <c r="N123" s="78">
        <v>525</v>
      </c>
      <c r="O123" s="70">
        <f t="shared" si="41"/>
        <v>9708</v>
      </c>
      <c r="P123" s="79">
        <f>O123/($O$123+$O$124+$O$125+$O$126+$O$127+$O$129)</f>
        <v>0.23900262932435226</v>
      </c>
      <c r="Q123" s="80">
        <f>O123/O115</f>
        <v>2.1757059614522634</v>
      </c>
    </row>
    <row r="124" spans="1:18" x14ac:dyDescent="0.25">
      <c r="A124" s="384"/>
      <c r="B124" s="71" t="s">
        <v>45</v>
      </c>
      <c r="C124" s="78">
        <v>214</v>
      </c>
      <c r="D124" s="78">
        <v>372</v>
      </c>
      <c r="E124" s="78">
        <v>473</v>
      </c>
      <c r="F124" s="78">
        <v>1763</v>
      </c>
      <c r="G124" s="78">
        <v>247</v>
      </c>
      <c r="H124" s="78">
        <v>351</v>
      </c>
      <c r="I124" s="78">
        <v>257</v>
      </c>
      <c r="J124" s="78">
        <v>283</v>
      </c>
      <c r="K124" s="78">
        <v>976</v>
      </c>
      <c r="L124" s="78">
        <v>213</v>
      </c>
      <c r="M124" s="78">
        <v>1046</v>
      </c>
      <c r="N124" s="78">
        <v>514</v>
      </c>
      <c r="O124" s="70">
        <f t="shared" si="41"/>
        <v>6709</v>
      </c>
      <c r="P124" s="79">
        <f t="shared" ref="P124:P129" si="44">O124/($O$123+$O$124+$O$125+$O$126+$O$127+$O$129)</f>
        <v>0.16516982284065507</v>
      </c>
      <c r="Q124" s="80">
        <f>O124/O116</f>
        <v>2.2551260504201682</v>
      </c>
    </row>
    <row r="125" spans="1:18" x14ac:dyDescent="0.25">
      <c r="A125" s="384"/>
      <c r="B125" s="71" t="s">
        <v>28</v>
      </c>
      <c r="C125" s="92">
        <v>157</v>
      </c>
      <c r="D125" s="92">
        <v>135</v>
      </c>
      <c r="E125" s="92">
        <v>248</v>
      </c>
      <c r="F125" s="92">
        <v>144</v>
      </c>
      <c r="G125" s="92">
        <v>127</v>
      </c>
      <c r="H125" s="92">
        <v>275</v>
      </c>
      <c r="I125" s="92">
        <v>324</v>
      </c>
      <c r="J125" s="92">
        <v>690</v>
      </c>
      <c r="K125" s="92">
        <f>'[4]TOTALS BOTIGA 2019'!$I$27</f>
        <v>204</v>
      </c>
      <c r="L125" s="92">
        <v>124</v>
      </c>
      <c r="M125" s="92">
        <v>181</v>
      </c>
      <c r="N125" s="92">
        <v>189</v>
      </c>
      <c r="O125" s="70">
        <f>SUM(C125:N125)</f>
        <v>2798</v>
      </c>
      <c r="P125" s="79">
        <f t="shared" si="44"/>
        <v>6.8884358966783854E-2</v>
      </c>
      <c r="Q125" s="80">
        <f>O125/O117</f>
        <v>2.6346516007532959</v>
      </c>
    </row>
    <row r="126" spans="1:18" x14ac:dyDescent="0.25">
      <c r="A126" s="384"/>
      <c r="B126" s="71" t="s">
        <v>29</v>
      </c>
      <c r="C126" s="92">
        <v>41</v>
      </c>
      <c r="D126" s="92">
        <v>22</v>
      </c>
      <c r="E126" s="92">
        <v>30.5</v>
      </c>
      <c r="F126" s="92">
        <v>26.5</v>
      </c>
      <c r="G126" s="92">
        <v>72.5</v>
      </c>
      <c r="H126" s="92">
        <v>24</v>
      </c>
      <c r="I126" s="92">
        <v>25</v>
      </c>
      <c r="J126" s="92">
        <f>'[4]TOTALS BOTIGA 2019'!$F$26</f>
        <v>67</v>
      </c>
      <c r="K126" s="92">
        <f>'[4]TOTALS BOTIGA 2019'!$F$27</f>
        <v>41</v>
      </c>
      <c r="L126" s="92">
        <v>32.5</v>
      </c>
      <c r="M126" s="92">
        <v>26</v>
      </c>
      <c r="N126" s="92">
        <v>15.5</v>
      </c>
      <c r="O126" s="70">
        <f>SUM(C126:N126)</f>
        <v>423.5</v>
      </c>
      <c r="P126" s="79">
        <f t="shared" si="44"/>
        <v>1.0426206584143302E-2</v>
      </c>
      <c r="Q126" s="80">
        <f>O126/O118</f>
        <v>1.654296875</v>
      </c>
    </row>
    <row r="127" spans="1:18" x14ac:dyDescent="0.25">
      <c r="A127" s="384"/>
      <c r="B127" s="71" t="s">
        <v>46</v>
      </c>
      <c r="C127" s="92">
        <v>423</v>
      </c>
      <c r="D127" s="92">
        <f>1395-273</f>
        <v>1122</v>
      </c>
      <c r="E127" s="92">
        <v>2703</v>
      </c>
      <c r="F127" s="92">
        <v>1450.25</v>
      </c>
      <c r="G127" s="92">
        <v>2350.8000000000002</v>
      </c>
      <c r="H127" s="92">
        <v>1357.5</v>
      </c>
      <c r="I127" s="92">
        <v>60</v>
      </c>
      <c r="J127" s="92">
        <v>0</v>
      </c>
      <c r="K127" s="92">
        <v>1759.5</v>
      </c>
      <c r="L127" s="92">
        <v>3031.5</v>
      </c>
      <c r="M127" s="92">
        <v>2132</v>
      </c>
      <c r="N127" s="92">
        <v>1768</v>
      </c>
      <c r="O127" s="70">
        <f t="shared" si="41"/>
        <v>18157.55</v>
      </c>
      <c r="P127" s="79">
        <f t="shared" si="44"/>
        <v>0.44702329955587061</v>
      </c>
      <c r="Q127" s="80">
        <f>O127/O119</f>
        <v>2.8826083505318305</v>
      </c>
      <c r="R127" s="83"/>
    </row>
    <row r="128" spans="1:18" x14ac:dyDescent="0.25">
      <c r="A128" s="384"/>
      <c r="B128" s="71" t="s">
        <v>53</v>
      </c>
      <c r="C128" s="92">
        <v>0</v>
      </c>
      <c r="D128" s="92">
        <v>33.299999999999997</v>
      </c>
      <c r="E128" s="92">
        <v>27.8</v>
      </c>
      <c r="F128" s="92">
        <v>48.8</v>
      </c>
      <c r="G128" s="92">
        <v>29.7</v>
      </c>
      <c r="H128" s="92">
        <v>96.2</v>
      </c>
      <c r="I128" s="92">
        <v>88.1</v>
      </c>
      <c r="J128" s="92">
        <v>234.5</v>
      </c>
      <c r="K128" s="92">
        <v>90</v>
      </c>
      <c r="L128" s="92">
        <v>57.6</v>
      </c>
      <c r="M128" s="92">
        <v>62.2</v>
      </c>
      <c r="N128" s="92">
        <v>33.5</v>
      </c>
      <c r="O128" s="70">
        <v>801.7</v>
      </c>
      <c r="P128" s="79">
        <f t="shared" si="44"/>
        <v>1.9737166041340463E-2</v>
      </c>
      <c r="Q128" s="80"/>
    </row>
    <row r="129" spans="1:18" ht="15.75" thickBot="1" x14ac:dyDescent="0.3">
      <c r="A129" s="385"/>
      <c r="B129" s="72" t="s">
        <v>50</v>
      </c>
      <c r="C129" s="93">
        <v>189.95</v>
      </c>
      <c r="D129" s="93">
        <v>107.95</v>
      </c>
      <c r="E129" s="93">
        <v>179.1</v>
      </c>
      <c r="F129" s="93">
        <v>245.35</v>
      </c>
      <c r="G129" s="93">
        <v>341.85</v>
      </c>
      <c r="H129" s="93">
        <v>207.85</v>
      </c>
      <c r="I129" s="93">
        <v>107.6</v>
      </c>
      <c r="J129" s="93">
        <v>357.4</v>
      </c>
      <c r="K129" s="93">
        <v>367.25</v>
      </c>
      <c r="L129" s="93">
        <v>220.7</v>
      </c>
      <c r="M129" s="93">
        <v>185.85</v>
      </c>
      <c r="N129" s="93">
        <v>311.89999999999998</v>
      </c>
      <c r="O129" s="91">
        <f t="shared" si="41"/>
        <v>2822.7499999999995</v>
      </c>
      <c r="P129" s="79">
        <f t="shared" si="44"/>
        <v>6.9493682728194811E-2</v>
      </c>
      <c r="Q129" s="80"/>
      <c r="R129" s="186" t="s">
        <v>78</v>
      </c>
    </row>
    <row r="130" spans="1:18" s="115" customFormat="1" ht="15.75" thickBot="1" x14ac:dyDescent="0.3">
      <c r="A130" s="287"/>
      <c r="B130" s="72"/>
      <c r="C130" s="258">
        <f>SUM(C123:C129)</f>
        <v>1112.95</v>
      </c>
      <c r="D130" s="258">
        <f t="shared" ref="D130:O130" si="45">SUM(D123:D129)</f>
        <v>2227.25</v>
      </c>
      <c r="E130" s="258">
        <f t="shared" si="45"/>
        <v>4013.4</v>
      </c>
      <c r="F130" s="258">
        <f t="shared" si="45"/>
        <v>4055.9</v>
      </c>
      <c r="G130" s="258">
        <f t="shared" si="45"/>
        <v>3561.85</v>
      </c>
      <c r="H130" s="258">
        <f t="shared" si="45"/>
        <v>3389.5499999999997</v>
      </c>
      <c r="I130" s="258">
        <f t="shared" si="45"/>
        <v>2428.6999999999998</v>
      </c>
      <c r="J130" s="258">
        <f t="shared" si="45"/>
        <v>3909.9</v>
      </c>
      <c r="K130" s="258">
        <f t="shared" si="45"/>
        <v>4589.75</v>
      </c>
      <c r="L130" s="258">
        <f t="shared" si="45"/>
        <v>4136.3</v>
      </c>
      <c r="M130" s="258">
        <f t="shared" si="45"/>
        <v>4638.05</v>
      </c>
      <c r="N130" s="258">
        <f t="shared" si="45"/>
        <v>3356.9</v>
      </c>
      <c r="O130" s="258">
        <f t="shared" si="45"/>
        <v>41420.5</v>
      </c>
      <c r="P130" s="87"/>
      <c r="Q130"/>
      <c r="R130" s="281">
        <f>SUM(H130:K130)</f>
        <v>14317.9</v>
      </c>
    </row>
    <row r="131" spans="1:18" s="115" customFormat="1" ht="15.75" thickBot="1" x14ac:dyDescent="0.3">
      <c r="A131" s="290"/>
      <c r="B131" s="200"/>
      <c r="C131" s="289"/>
      <c r="D131" s="289"/>
      <c r="E131" s="289"/>
      <c r="F131" s="289"/>
      <c r="G131" s="289"/>
      <c r="H131" s="289"/>
      <c r="I131" s="289"/>
      <c r="J131" s="289"/>
      <c r="K131" s="289"/>
      <c r="L131" s="289"/>
      <c r="M131" s="289"/>
      <c r="N131" s="289"/>
      <c r="O131" s="289"/>
      <c r="P131" s="87"/>
      <c r="Q131"/>
    </row>
    <row r="132" spans="1:18" s="115" customFormat="1" ht="15.75" thickBot="1" x14ac:dyDescent="0.3">
      <c r="A132" s="406">
        <v>2018</v>
      </c>
      <c r="B132" s="407"/>
      <c r="C132" s="407"/>
      <c r="D132" s="407"/>
      <c r="E132" s="407"/>
      <c r="F132" s="407"/>
      <c r="G132" s="407"/>
      <c r="H132" s="407"/>
      <c r="I132" s="407"/>
      <c r="J132" s="407"/>
      <c r="K132" s="407"/>
      <c r="L132" s="407"/>
      <c r="M132" s="407"/>
      <c r="N132" s="407"/>
      <c r="O132" s="408"/>
      <c r="P132"/>
      <c r="Q132"/>
    </row>
    <row r="133" spans="1:18" s="115" customFormat="1" ht="15.75" thickBot="1" x14ac:dyDescent="0.3">
      <c r="A133" s="381"/>
      <c r="B133" s="382"/>
      <c r="C133" s="113" t="s">
        <v>37</v>
      </c>
      <c r="D133" s="113" t="s">
        <v>38</v>
      </c>
      <c r="E133" s="113" t="s">
        <v>39</v>
      </c>
      <c r="F133" s="113" t="s">
        <v>40</v>
      </c>
      <c r="G133" s="113" t="s">
        <v>41</v>
      </c>
      <c r="H133" s="113" t="s">
        <v>42</v>
      </c>
      <c r="I133" s="113" t="s">
        <v>43</v>
      </c>
      <c r="J133" s="113" t="s">
        <v>44</v>
      </c>
      <c r="K133" s="113" t="s">
        <v>36</v>
      </c>
      <c r="L133" s="113" t="s">
        <v>35</v>
      </c>
      <c r="M133" s="113" t="s">
        <v>33</v>
      </c>
      <c r="N133" s="113" t="s">
        <v>34</v>
      </c>
      <c r="O133" s="114" t="s">
        <v>49</v>
      </c>
      <c r="P133" s="412" t="s">
        <v>52</v>
      </c>
      <c r="Q133" s="413"/>
    </row>
    <row r="134" spans="1:18" s="115" customFormat="1" x14ac:dyDescent="0.25">
      <c r="A134" s="414" t="s">
        <v>48</v>
      </c>
      <c r="B134" s="143" t="s">
        <v>47</v>
      </c>
      <c r="C134" s="144">
        <v>0</v>
      </c>
      <c r="D134" s="144">
        <v>8</v>
      </c>
      <c r="E134" s="144">
        <v>0</v>
      </c>
      <c r="F134" s="144">
        <v>0</v>
      </c>
      <c r="G134" s="144">
        <v>2</v>
      </c>
      <c r="H134" s="144">
        <v>5</v>
      </c>
      <c r="I134" s="144">
        <v>15</v>
      </c>
      <c r="J134" s="144">
        <v>2</v>
      </c>
      <c r="K134" s="144">
        <v>31</v>
      </c>
      <c r="L134" s="144">
        <v>1</v>
      </c>
      <c r="M134" s="144">
        <v>9</v>
      </c>
      <c r="N134" s="144">
        <v>6</v>
      </c>
      <c r="O134" s="145">
        <f>SUM(C134:N134)</f>
        <v>79</v>
      </c>
      <c r="P134" s="146">
        <f>O134/($O$134+$O$135)</f>
        <v>1.9235451667884099E-2</v>
      </c>
      <c r="Q134" s="147"/>
    </row>
    <row r="135" spans="1:18" s="115" customFormat="1" ht="15.75" thickBot="1" x14ac:dyDescent="0.3">
      <c r="A135" s="415"/>
      <c r="B135" s="148" t="s">
        <v>55</v>
      </c>
      <c r="C135" s="291">
        <v>327</v>
      </c>
      <c r="D135" s="291">
        <v>138</v>
      </c>
      <c r="E135" s="291">
        <v>259</v>
      </c>
      <c r="F135" s="291">
        <v>325</v>
      </c>
      <c r="G135" s="291">
        <v>601</v>
      </c>
      <c r="H135" s="291">
        <v>177</v>
      </c>
      <c r="I135" s="291">
        <v>283</v>
      </c>
      <c r="J135" s="291">
        <v>359</v>
      </c>
      <c r="K135" s="291">
        <v>435</v>
      </c>
      <c r="L135" s="291">
        <v>552</v>
      </c>
      <c r="M135" s="291">
        <v>314</v>
      </c>
      <c r="N135" s="291">
        <v>258</v>
      </c>
      <c r="O135" s="292">
        <f>SUM(C135:N135)</f>
        <v>4028</v>
      </c>
      <c r="P135" s="146">
        <f>O135/($O$134+$O$135)</f>
        <v>0.9807645483321159</v>
      </c>
      <c r="Q135" s="147"/>
    </row>
    <row r="136" spans="1:18" s="115" customFormat="1" ht="15.75" thickBot="1" x14ac:dyDescent="0.3">
      <c r="A136" s="293"/>
      <c r="B136" s="294"/>
      <c r="C136" s="149">
        <f>SUM(C134:C135)</f>
        <v>327</v>
      </c>
      <c r="D136" s="149">
        <f t="shared" ref="D136:O136" si="46">SUM(D134:D135)</f>
        <v>146</v>
      </c>
      <c r="E136" s="149">
        <f t="shared" si="46"/>
        <v>259</v>
      </c>
      <c r="F136" s="149">
        <f t="shared" si="46"/>
        <v>325</v>
      </c>
      <c r="G136" s="149">
        <f t="shared" si="46"/>
        <v>603</v>
      </c>
      <c r="H136" s="149">
        <f t="shared" si="46"/>
        <v>182</v>
      </c>
      <c r="I136" s="149">
        <f t="shared" si="46"/>
        <v>298</v>
      </c>
      <c r="J136" s="149">
        <f t="shared" si="46"/>
        <v>361</v>
      </c>
      <c r="K136" s="149">
        <f t="shared" si="46"/>
        <v>466</v>
      </c>
      <c r="L136" s="149">
        <f t="shared" si="46"/>
        <v>553</v>
      </c>
      <c r="M136" s="149">
        <f t="shared" si="46"/>
        <v>323</v>
      </c>
      <c r="N136" s="149">
        <f t="shared" si="46"/>
        <v>264</v>
      </c>
      <c r="O136" s="150">
        <f t="shared" si="46"/>
        <v>4107</v>
      </c>
      <c r="P136" s="146"/>
      <c r="Q136" s="147"/>
    </row>
    <row r="137" spans="1:18" s="115" customFormat="1" ht="15.75" thickBot="1" x14ac:dyDescent="0.3">
      <c r="A137" s="381"/>
      <c r="B137" s="382"/>
      <c r="C137" s="271" t="s">
        <v>37</v>
      </c>
      <c r="D137" s="272" t="s">
        <v>38</v>
      </c>
      <c r="E137" s="272" t="s">
        <v>39</v>
      </c>
      <c r="F137" s="272" t="s">
        <v>40</v>
      </c>
      <c r="G137" s="272" t="s">
        <v>41</v>
      </c>
      <c r="H137" s="272" t="s">
        <v>42</v>
      </c>
      <c r="I137" s="272" t="s">
        <v>43</v>
      </c>
      <c r="J137" s="272" t="s">
        <v>44</v>
      </c>
      <c r="K137" s="272" t="s">
        <v>36</v>
      </c>
      <c r="L137" s="272" t="s">
        <v>35</v>
      </c>
      <c r="M137" s="272" t="s">
        <v>33</v>
      </c>
      <c r="N137" s="272" t="s">
        <v>34</v>
      </c>
      <c r="O137" s="273" t="s">
        <v>49</v>
      </c>
      <c r="P137" s="412" t="s">
        <v>52</v>
      </c>
      <c r="Q137" s="413"/>
    </row>
    <row r="138" spans="1:18" s="115" customFormat="1" x14ac:dyDescent="0.25">
      <c r="A138" s="403" t="s">
        <v>30</v>
      </c>
      <c r="B138" s="151" t="s">
        <v>27</v>
      </c>
      <c r="C138" s="152">
        <v>49</v>
      </c>
      <c r="D138" s="152">
        <v>129</v>
      </c>
      <c r="E138" s="152">
        <v>104</v>
      </c>
      <c r="F138" s="152">
        <v>73</v>
      </c>
      <c r="G138" s="152">
        <v>97</v>
      </c>
      <c r="H138" s="152">
        <v>71</v>
      </c>
      <c r="I138" s="152">
        <v>190</v>
      </c>
      <c r="J138" s="152">
        <v>461</v>
      </c>
      <c r="K138" s="152">
        <v>242</v>
      </c>
      <c r="L138" s="152">
        <v>89</v>
      </c>
      <c r="M138" s="152">
        <v>106</v>
      </c>
      <c r="N138" s="152">
        <v>125</v>
      </c>
      <c r="O138" s="153">
        <f t="shared" ref="O138:O152" si="47">SUM(C138:N138)</f>
        <v>1736</v>
      </c>
      <c r="P138" s="154">
        <f t="shared" ref="P138:P143" si="48">O138/($O$138+$O$139+$O$140+$O$141+$O$142+$O$143)</f>
        <v>0.1467455621301775</v>
      </c>
    </row>
    <row r="139" spans="1:18" s="115" customFormat="1" x14ac:dyDescent="0.25">
      <c r="A139" s="404"/>
      <c r="B139" s="155" t="s">
        <v>45</v>
      </c>
      <c r="C139" s="156">
        <v>49</v>
      </c>
      <c r="D139" s="156">
        <v>82</v>
      </c>
      <c r="E139" s="157">
        <v>1824</v>
      </c>
      <c r="F139" s="157">
        <v>136</v>
      </c>
      <c r="G139" s="156">
        <v>87</v>
      </c>
      <c r="H139" s="156">
        <v>37</v>
      </c>
      <c r="I139" s="156">
        <v>83</v>
      </c>
      <c r="J139" s="156">
        <v>71</v>
      </c>
      <c r="K139" s="156">
        <v>166</v>
      </c>
      <c r="L139" s="156">
        <v>126</v>
      </c>
      <c r="M139" s="156">
        <v>86</v>
      </c>
      <c r="N139" s="156">
        <v>93</v>
      </c>
      <c r="O139" s="158">
        <f t="shared" si="47"/>
        <v>2840</v>
      </c>
      <c r="P139" s="154">
        <f t="shared" si="48"/>
        <v>0.2400676246830093</v>
      </c>
    </row>
    <row r="140" spans="1:18" s="115" customFormat="1" x14ac:dyDescent="0.25">
      <c r="A140" s="404"/>
      <c r="B140" s="155" t="s">
        <v>28</v>
      </c>
      <c r="C140" s="159">
        <v>6</v>
      </c>
      <c r="D140" s="159">
        <v>16</v>
      </c>
      <c r="E140" s="159">
        <v>52</v>
      </c>
      <c r="F140" s="159">
        <v>47</v>
      </c>
      <c r="G140" s="159">
        <v>77</v>
      </c>
      <c r="H140" s="159">
        <v>58</v>
      </c>
      <c r="I140" s="159">
        <v>78</v>
      </c>
      <c r="J140" s="159">
        <v>150</v>
      </c>
      <c r="K140" s="159">
        <v>78</v>
      </c>
      <c r="L140" s="159">
        <v>75</v>
      </c>
      <c r="M140" s="159">
        <v>75</v>
      </c>
      <c r="N140" s="159">
        <v>110</v>
      </c>
      <c r="O140" s="158">
        <f>SUM(C140:N140)</f>
        <v>822</v>
      </c>
      <c r="P140" s="154">
        <f t="shared" si="48"/>
        <v>6.9484361792054097E-2</v>
      </c>
      <c r="Q140" s="160"/>
    </row>
    <row r="141" spans="1:18" s="115" customFormat="1" x14ac:dyDescent="0.25">
      <c r="A141" s="404"/>
      <c r="B141" s="155" t="s">
        <v>29</v>
      </c>
      <c r="C141" s="159">
        <v>17</v>
      </c>
      <c r="D141" s="159">
        <v>19</v>
      </c>
      <c r="E141" s="159">
        <v>17</v>
      </c>
      <c r="F141" s="159">
        <v>28</v>
      </c>
      <c r="G141" s="159">
        <v>35</v>
      </c>
      <c r="H141" s="159">
        <v>25</v>
      </c>
      <c r="I141" s="159">
        <v>33</v>
      </c>
      <c r="J141" s="159">
        <v>22</v>
      </c>
      <c r="K141" s="159">
        <v>27</v>
      </c>
      <c r="L141" s="159">
        <v>23</v>
      </c>
      <c r="M141" s="159">
        <v>62</v>
      </c>
      <c r="N141" s="159">
        <v>17</v>
      </c>
      <c r="O141" s="158">
        <f>SUM(C141:N141)</f>
        <v>325</v>
      </c>
      <c r="P141" s="154">
        <f t="shared" si="48"/>
        <v>2.7472527472527472E-2</v>
      </c>
    </row>
    <row r="142" spans="1:18" s="115" customFormat="1" x14ac:dyDescent="0.25">
      <c r="A142" s="404"/>
      <c r="B142" s="155" t="s">
        <v>46</v>
      </c>
      <c r="C142" s="156">
        <v>248</v>
      </c>
      <c r="D142" s="156">
        <v>152</v>
      </c>
      <c r="E142" s="156">
        <v>347</v>
      </c>
      <c r="F142" s="156">
        <v>558</v>
      </c>
      <c r="G142" s="156">
        <v>666</v>
      </c>
      <c r="H142" s="156">
        <v>494</v>
      </c>
      <c r="I142" s="156">
        <v>279</v>
      </c>
      <c r="J142" s="156">
        <v>74</v>
      </c>
      <c r="K142" s="156">
        <v>401</v>
      </c>
      <c r="L142" s="156">
        <v>2035</v>
      </c>
      <c r="M142" s="156">
        <v>782</v>
      </c>
      <c r="N142" s="156">
        <v>71</v>
      </c>
      <c r="O142" s="158">
        <f t="shared" si="47"/>
        <v>6107</v>
      </c>
      <c r="P142" s="154">
        <f t="shared" si="48"/>
        <v>0.51622992392223166</v>
      </c>
    </row>
    <row r="143" spans="1:18" s="115" customFormat="1" ht="15.75" thickBot="1" x14ac:dyDescent="0.3">
      <c r="A143" s="405"/>
      <c r="B143" s="161" t="s">
        <v>32</v>
      </c>
      <c r="C143" s="162"/>
      <c r="D143" s="162"/>
      <c r="E143" s="162"/>
      <c r="F143" s="162"/>
      <c r="G143" s="162"/>
      <c r="H143" s="162"/>
      <c r="I143" s="162"/>
      <c r="J143" s="162"/>
      <c r="K143" s="162"/>
      <c r="L143" s="162"/>
      <c r="M143" s="162"/>
      <c r="N143" s="162"/>
      <c r="O143" s="163">
        <f t="shared" si="47"/>
        <v>0</v>
      </c>
      <c r="P143" s="154">
        <f t="shared" si="48"/>
        <v>0</v>
      </c>
      <c r="R143" s="186" t="s">
        <v>78</v>
      </c>
    </row>
    <row r="144" spans="1:18" s="115" customFormat="1" ht="15.75" thickBot="1" x14ac:dyDescent="0.3">
      <c r="A144" s="279"/>
      <c r="B144" s="161"/>
      <c r="C144" s="162">
        <f>SUM(C138:C143)</f>
        <v>369</v>
      </c>
      <c r="D144" s="162">
        <f t="shared" ref="D144:O144" si="49">SUM(D138:D143)</f>
        <v>398</v>
      </c>
      <c r="E144" s="162">
        <f t="shared" si="49"/>
        <v>2344</v>
      </c>
      <c r="F144" s="162">
        <f t="shared" si="49"/>
        <v>842</v>
      </c>
      <c r="G144" s="162">
        <f t="shared" si="49"/>
        <v>962</v>
      </c>
      <c r="H144" s="162">
        <f t="shared" si="49"/>
        <v>685</v>
      </c>
      <c r="I144" s="162">
        <f t="shared" si="49"/>
        <v>663</v>
      </c>
      <c r="J144" s="162">
        <f t="shared" si="49"/>
        <v>778</v>
      </c>
      <c r="K144" s="162">
        <f t="shared" si="49"/>
        <v>914</v>
      </c>
      <c r="L144" s="162">
        <f t="shared" si="49"/>
        <v>2348</v>
      </c>
      <c r="M144" s="162">
        <f t="shared" si="49"/>
        <v>1111</v>
      </c>
      <c r="N144" s="162">
        <f t="shared" si="49"/>
        <v>416</v>
      </c>
      <c r="O144" s="280">
        <f t="shared" si="49"/>
        <v>11830</v>
      </c>
      <c r="P144" s="154"/>
      <c r="R144" s="115">
        <f>SUM(H144:K144)</f>
        <v>3040</v>
      </c>
    </row>
    <row r="145" spans="1:18" s="115" customFormat="1" ht="15.75" thickBot="1" x14ac:dyDescent="0.3">
      <c r="A145" s="279"/>
      <c r="B145" s="274"/>
      <c r="C145" s="116" t="s">
        <v>37</v>
      </c>
      <c r="D145" s="116" t="s">
        <v>38</v>
      </c>
      <c r="E145" s="116" t="s">
        <v>39</v>
      </c>
      <c r="F145" s="116" t="s">
        <v>40</v>
      </c>
      <c r="G145" s="116" t="s">
        <v>41</v>
      </c>
      <c r="H145" s="116" t="s">
        <v>42</v>
      </c>
      <c r="I145" s="116" t="s">
        <v>43</v>
      </c>
      <c r="J145" s="116" t="s">
        <v>44</v>
      </c>
      <c r="K145" s="116" t="s">
        <v>36</v>
      </c>
      <c r="L145" s="116" t="s">
        <v>35</v>
      </c>
      <c r="M145" s="116" t="s">
        <v>33</v>
      </c>
      <c r="N145" s="116" t="s">
        <v>34</v>
      </c>
      <c r="O145" s="117" t="s">
        <v>49</v>
      </c>
      <c r="P145" s="121" t="s">
        <v>51</v>
      </c>
      <c r="Q145" s="121" t="s">
        <v>16</v>
      </c>
    </row>
    <row r="146" spans="1:18" s="115" customFormat="1" x14ac:dyDescent="0.25">
      <c r="A146" s="403" t="s">
        <v>31</v>
      </c>
      <c r="B146" s="155" t="s">
        <v>27</v>
      </c>
      <c r="C146" s="164">
        <v>100</v>
      </c>
      <c r="D146" s="164">
        <v>280</v>
      </c>
      <c r="E146" s="164">
        <v>239</v>
      </c>
      <c r="F146" s="164">
        <v>208</v>
      </c>
      <c r="G146" s="164">
        <v>209</v>
      </c>
      <c r="H146" s="164">
        <v>167</v>
      </c>
      <c r="I146" s="164">
        <v>449</v>
      </c>
      <c r="J146" s="164">
        <v>903</v>
      </c>
      <c r="K146" s="164">
        <v>609</v>
      </c>
      <c r="L146" s="164">
        <v>200</v>
      </c>
      <c r="M146" s="164">
        <v>222</v>
      </c>
      <c r="N146" s="164">
        <v>245</v>
      </c>
      <c r="O146" s="165">
        <f t="shared" si="47"/>
        <v>3831</v>
      </c>
      <c r="P146" s="154">
        <f>O146/($O$146+$O$147+$O$148+$O$149+$O$150+$O$152)</f>
        <v>0.12540734472616449</v>
      </c>
      <c r="Q146" s="166">
        <f>O146/O138</f>
        <v>2.2067972350230414</v>
      </c>
    </row>
    <row r="147" spans="1:18" s="115" customFormat="1" x14ac:dyDescent="0.25">
      <c r="A147" s="404"/>
      <c r="B147" s="155" t="s">
        <v>45</v>
      </c>
      <c r="C147" s="164">
        <v>236</v>
      </c>
      <c r="D147" s="164">
        <v>275</v>
      </c>
      <c r="E147" s="164">
        <v>2011</v>
      </c>
      <c r="F147" s="164">
        <v>432</v>
      </c>
      <c r="G147" s="164">
        <v>364</v>
      </c>
      <c r="H147" s="164">
        <v>159</v>
      </c>
      <c r="I147" s="164">
        <v>358</v>
      </c>
      <c r="J147" s="164">
        <v>328</v>
      </c>
      <c r="K147" s="164">
        <v>587</v>
      </c>
      <c r="L147" s="164">
        <v>149</v>
      </c>
      <c r="M147" s="164">
        <v>346</v>
      </c>
      <c r="N147" s="164">
        <v>350</v>
      </c>
      <c r="O147" s="165">
        <f t="shared" si="47"/>
        <v>5595</v>
      </c>
      <c r="P147" s="154">
        <f t="shared" ref="P147:P152" si="50">O147/($O$146+$O$147+$O$148+$O$149+$O$150+$O$152)</f>
        <v>0.18315168200023241</v>
      </c>
      <c r="Q147" s="166">
        <f>O147/O139</f>
        <v>1.9700704225352113</v>
      </c>
    </row>
    <row r="148" spans="1:18" s="115" customFormat="1" x14ac:dyDescent="0.25">
      <c r="A148" s="404"/>
      <c r="B148" s="155" t="s">
        <v>28</v>
      </c>
      <c r="C148" s="167">
        <v>16</v>
      </c>
      <c r="D148" s="167">
        <v>46</v>
      </c>
      <c r="E148" s="167">
        <v>137</v>
      </c>
      <c r="F148" s="167">
        <v>112</v>
      </c>
      <c r="G148" s="167">
        <v>210</v>
      </c>
      <c r="H148" s="167">
        <v>152</v>
      </c>
      <c r="I148" s="167">
        <v>211</v>
      </c>
      <c r="J148" s="167">
        <v>411</v>
      </c>
      <c r="K148" s="167">
        <v>213</v>
      </c>
      <c r="L148" s="167">
        <v>208</v>
      </c>
      <c r="M148" s="167">
        <v>201</v>
      </c>
      <c r="N148" s="167">
        <v>310</v>
      </c>
      <c r="O148" s="165">
        <f>SUM(C148:N148)</f>
        <v>2227</v>
      </c>
      <c r="P148" s="154">
        <f t="shared" si="50"/>
        <v>7.2900589064256935E-2</v>
      </c>
      <c r="Q148" s="166">
        <f>O148/O140</f>
        <v>2.7092457420924574</v>
      </c>
    </row>
    <row r="149" spans="1:18" s="115" customFormat="1" x14ac:dyDescent="0.25">
      <c r="A149" s="404"/>
      <c r="B149" s="155" t="s">
        <v>29</v>
      </c>
      <c r="C149" s="167">
        <v>26.5</v>
      </c>
      <c r="D149" s="167">
        <v>36</v>
      </c>
      <c r="E149" s="167">
        <v>30</v>
      </c>
      <c r="F149" s="167">
        <v>48.5</v>
      </c>
      <c r="G149" s="167">
        <v>60</v>
      </c>
      <c r="H149" s="167">
        <v>15.5</v>
      </c>
      <c r="I149" s="167">
        <v>44.5</v>
      </c>
      <c r="J149" s="167">
        <v>41</v>
      </c>
      <c r="K149" s="167">
        <v>49.5</v>
      </c>
      <c r="L149" s="167">
        <v>37.5</v>
      </c>
      <c r="M149" s="167">
        <v>94</v>
      </c>
      <c r="N149" s="167">
        <v>28.5</v>
      </c>
      <c r="O149" s="165">
        <f>SUM(C149:N149)</f>
        <v>511.5</v>
      </c>
      <c r="P149" s="154">
        <f t="shared" si="50"/>
        <v>1.6743893716375136E-2</v>
      </c>
      <c r="Q149" s="166">
        <f>O149/O141</f>
        <v>1.5738461538461539</v>
      </c>
    </row>
    <row r="150" spans="1:18" s="115" customFormat="1" x14ac:dyDescent="0.25">
      <c r="A150" s="404"/>
      <c r="B150" s="155" t="s">
        <v>46</v>
      </c>
      <c r="C150" s="167">
        <v>495.5</v>
      </c>
      <c r="D150" s="167">
        <v>244.5</v>
      </c>
      <c r="E150" s="167">
        <v>748.5</v>
      </c>
      <c r="F150" s="167">
        <v>1930.5</v>
      </c>
      <c r="G150" s="167">
        <v>863.75</v>
      </c>
      <c r="H150" s="167">
        <v>1064.5</v>
      </c>
      <c r="I150" s="167">
        <v>304</v>
      </c>
      <c r="J150" s="167">
        <v>376</v>
      </c>
      <c r="K150" s="167">
        <v>571</v>
      </c>
      <c r="L150" s="167">
        <v>5224</v>
      </c>
      <c r="M150" s="167">
        <v>2396.5</v>
      </c>
      <c r="N150" s="167">
        <v>212.5</v>
      </c>
      <c r="O150" s="165">
        <f t="shared" si="47"/>
        <v>14431.25</v>
      </c>
      <c r="P150" s="154">
        <f t="shared" si="50"/>
        <v>0.47240531025305704</v>
      </c>
      <c r="Q150" s="166">
        <f>O150/O142</f>
        <v>2.363066972326838</v>
      </c>
    </row>
    <row r="151" spans="1:18" s="115" customFormat="1" x14ac:dyDescent="0.25">
      <c r="A151" s="404"/>
      <c r="B151" s="155" t="s">
        <v>54</v>
      </c>
      <c r="C151" s="167">
        <v>0</v>
      </c>
      <c r="D151" s="167">
        <v>6.5</v>
      </c>
      <c r="E151" s="167">
        <v>8</v>
      </c>
      <c r="F151" s="167">
        <v>26</v>
      </c>
      <c r="G151" s="167">
        <v>7.6</v>
      </c>
      <c r="H151" s="167">
        <v>32</v>
      </c>
      <c r="I151" s="167">
        <v>90</v>
      </c>
      <c r="J151" s="167">
        <v>85.6</v>
      </c>
      <c r="K151" s="167">
        <v>59</v>
      </c>
      <c r="L151" s="167">
        <v>13.5</v>
      </c>
      <c r="M151" s="167">
        <v>54.5</v>
      </c>
      <c r="N151" s="167">
        <v>9</v>
      </c>
      <c r="O151" s="165">
        <f t="shared" si="47"/>
        <v>391.7</v>
      </c>
      <c r="P151" s="154">
        <f t="shared" si="50"/>
        <v>1.2822254484270068E-2</v>
      </c>
      <c r="Q151" s="166"/>
    </row>
    <row r="152" spans="1:18" ht="15.75" thickBot="1" x14ac:dyDescent="0.3">
      <c r="A152" s="405"/>
      <c r="B152" s="161" t="s">
        <v>50</v>
      </c>
      <c r="C152" s="168">
        <v>71.8</v>
      </c>
      <c r="D152" s="168">
        <v>63.45</v>
      </c>
      <c r="E152" s="168">
        <v>212.7</v>
      </c>
      <c r="F152" s="168">
        <v>238.15</v>
      </c>
      <c r="G152" s="168">
        <v>457</v>
      </c>
      <c r="H152" s="168">
        <v>236.1</v>
      </c>
      <c r="I152" s="168">
        <v>185.65</v>
      </c>
      <c r="J152" s="168">
        <v>438</v>
      </c>
      <c r="K152" s="168">
        <v>280.5</v>
      </c>
      <c r="L152" s="168">
        <v>1289.45</v>
      </c>
      <c r="M152" s="168">
        <v>351.25</v>
      </c>
      <c r="N152" s="168">
        <v>128.65</v>
      </c>
      <c r="O152" s="169">
        <f t="shared" si="47"/>
        <v>3952.7000000000003</v>
      </c>
      <c r="P152" s="154">
        <f t="shared" si="50"/>
        <v>0.12939118023991397</v>
      </c>
      <c r="Q152" s="166"/>
      <c r="R152" s="186" t="s">
        <v>78</v>
      </c>
    </row>
    <row r="153" spans="1:18" x14ac:dyDescent="0.25">
      <c r="B153" s="115"/>
      <c r="C153" s="281">
        <f>SUM(C146:C152)</f>
        <v>945.8</v>
      </c>
      <c r="D153" s="281">
        <f t="shared" ref="D153:O153" si="51">SUM(D146:D152)</f>
        <v>951.45</v>
      </c>
      <c r="E153" s="281">
        <f t="shared" si="51"/>
        <v>3386.2</v>
      </c>
      <c r="F153" s="281">
        <f t="shared" si="51"/>
        <v>2995.15</v>
      </c>
      <c r="G153" s="281">
        <f t="shared" si="51"/>
        <v>2171.35</v>
      </c>
      <c r="H153" s="281">
        <f t="shared" si="51"/>
        <v>1826.1</v>
      </c>
      <c r="I153" s="281">
        <f t="shared" si="51"/>
        <v>1642.15</v>
      </c>
      <c r="J153" s="281">
        <f t="shared" si="51"/>
        <v>2582.6</v>
      </c>
      <c r="K153" s="281">
        <f t="shared" si="51"/>
        <v>2369</v>
      </c>
      <c r="L153" s="281">
        <f t="shared" si="51"/>
        <v>7121.45</v>
      </c>
      <c r="M153" s="281">
        <f t="shared" si="51"/>
        <v>3665.25</v>
      </c>
      <c r="N153" s="281">
        <f t="shared" si="51"/>
        <v>1283.6500000000001</v>
      </c>
      <c r="O153" s="282">
        <f t="shared" si="51"/>
        <v>30940.15</v>
      </c>
      <c r="P153" s="115"/>
      <c r="Q153" s="115"/>
      <c r="R153" s="304">
        <f>SUM(H153:K153)</f>
        <v>8419.85</v>
      </c>
    </row>
    <row r="154" spans="1:18" x14ac:dyDescent="0.25">
      <c r="C154" s="65"/>
    </row>
  </sheetData>
  <mergeCells count="52">
    <mergeCell ref="A8:A14"/>
    <mergeCell ref="A17:B17"/>
    <mergeCell ref="A18:A26"/>
    <mergeCell ref="A1:O1"/>
    <mergeCell ref="A2:B2"/>
    <mergeCell ref="P2:Q2"/>
    <mergeCell ref="A3:A4"/>
    <mergeCell ref="A7:B7"/>
    <mergeCell ref="P7:Q7"/>
    <mergeCell ref="P110:Q110"/>
    <mergeCell ref="P65:Q65"/>
    <mergeCell ref="P91:Q91"/>
    <mergeCell ref="P87:Q87"/>
    <mergeCell ref="A76:A83"/>
    <mergeCell ref="A75:B75"/>
    <mergeCell ref="A86:O86"/>
    <mergeCell ref="A88:A89"/>
    <mergeCell ref="A66:A72"/>
    <mergeCell ref="A38:A44"/>
    <mergeCell ref="A48:A56"/>
    <mergeCell ref="A47:B47"/>
    <mergeCell ref="P133:Q133"/>
    <mergeCell ref="P137:Q137"/>
    <mergeCell ref="P114:Q114"/>
    <mergeCell ref="A134:A135"/>
    <mergeCell ref="A115:A120"/>
    <mergeCell ref="P60:Q60"/>
    <mergeCell ref="A59:O59"/>
    <mergeCell ref="A31:O31"/>
    <mergeCell ref="A32:B32"/>
    <mergeCell ref="P32:Q32"/>
    <mergeCell ref="A33:A34"/>
    <mergeCell ref="A37:B37"/>
    <mergeCell ref="P37:Q37"/>
    <mergeCell ref="A61:A62"/>
    <mergeCell ref="A60:B60"/>
    <mergeCell ref="A65:B65"/>
    <mergeCell ref="A87:B87"/>
    <mergeCell ref="A91:B91"/>
    <mergeCell ref="A109:O109"/>
    <mergeCell ref="A100:A106"/>
    <mergeCell ref="A111:A112"/>
    <mergeCell ref="A110:B110"/>
    <mergeCell ref="A92:A97"/>
    <mergeCell ref="A146:A152"/>
    <mergeCell ref="A138:A143"/>
    <mergeCell ref="A137:B137"/>
    <mergeCell ref="A114:B114"/>
    <mergeCell ref="A132:O132"/>
    <mergeCell ref="A123:A129"/>
    <mergeCell ref="A133:B133"/>
    <mergeCell ref="A122:B122"/>
  </mergeCells>
  <phoneticPr fontId="0"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4"/>
  <sheetViews>
    <sheetView workbookViewId="0">
      <selection activeCell="K8" sqref="K8"/>
    </sheetView>
  </sheetViews>
  <sheetFormatPr defaultColWidth="11.42578125" defaultRowHeight="15" x14ac:dyDescent="0.25"/>
  <cols>
    <col min="1" max="1" width="20.7109375" bestFit="1" customWidth="1"/>
    <col min="2" max="4" width="9.5703125" bestFit="1" customWidth="1"/>
    <col min="5" max="6" width="11" bestFit="1" customWidth="1"/>
    <col min="7" max="8" width="9.42578125" bestFit="1" customWidth="1"/>
    <col min="9" max="9" width="11" bestFit="1" customWidth="1"/>
    <col min="10" max="11" width="9.42578125" bestFit="1" customWidth="1"/>
    <col min="12" max="12" width="11" bestFit="1" customWidth="1"/>
    <col min="13" max="13" width="9.42578125" bestFit="1" customWidth="1"/>
    <col min="14" max="14" width="11" bestFit="1" customWidth="1"/>
  </cols>
  <sheetData>
    <row r="1" spans="1:14" ht="15.75" thickBot="1" x14ac:dyDescent="0.3">
      <c r="A1" s="379" t="s">
        <v>87</v>
      </c>
      <c r="B1" s="379"/>
      <c r="C1" s="379"/>
      <c r="D1" s="379"/>
      <c r="E1" s="379"/>
      <c r="F1" s="379"/>
      <c r="G1" s="379"/>
      <c r="H1" s="379"/>
      <c r="I1" s="379"/>
      <c r="J1" s="379"/>
      <c r="K1" s="379"/>
      <c r="L1" s="379"/>
      <c r="M1" s="379"/>
      <c r="N1" s="380"/>
    </row>
    <row r="2" spans="1:14" ht="15.75" thickBot="1" x14ac:dyDescent="0.3">
      <c r="A2" s="309"/>
      <c r="B2" s="306" t="s">
        <v>37</v>
      </c>
      <c r="C2" s="223" t="s">
        <v>38</v>
      </c>
      <c r="D2" s="223" t="s">
        <v>39</v>
      </c>
      <c r="E2" s="223" t="s">
        <v>40</v>
      </c>
      <c r="F2" s="223" t="s">
        <v>41</v>
      </c>
      <c r="G2" s="223" t="s">
        <v>42</v>
      </c>
      <c r="H2" s="223" t="s">
        <v>43</v>
      </c>
      <c r="I2" s="306" t="s">
        <v>44</v>
      </c>
      <c r="J2" s="306" t="s">
        <v>36</v>
      </c>
      <c r="K2" s="306" t="s">
        <v>35</v>
      </c>
      <c r="L2" s="306" t="s">
        <v>33</v>
      </c>
      <c r="M2" s="306" t="s">
        <v>34</v>
      </c>
      <c r="N2" s="295" t="s">
        <v>49</v>
      </c>
    </row>
    <row r="3" spans="1:14" x14ac:dyDescent="0.25">
      <c r="A3" s="172" t="s">
        <v>27</v>
      </c>
      <c r="B3" s="311">
        <v>24</v>
      </c>
      <c r="C3" s="311">
        <v>6</v>
      </c>
      <c r="D3" s="311">
        <v>26</v>
      </c>
      <c r="E3" s="311">
        <v>96</v>
      </c>
      <c r="F3" s="311">
        <v>16</v>
      </c>
      <c r="G3" s="311">
        <v>32</v>
      </c>
      <c r="H3" s="311">
        <v>21</v>
      </c>
      <c r="I3" s="311">
        <v>43</v>
      </c>
      <c r="J3" s="311">
        <v>26</v>
      </c>
      <c r="K3" s="311">
        <v>18</v>
      </c>
      <c r="L3" s="231"/>
      <c r="M3" s="312"/>
      <c r="N3" s="231">
        <f>SUM(B3:M3)</f>
        <v>308</v>
      </c>
    </row>
    <row r="4" spans="1:14" x14ac:dyDescent="0.25">
      <c r="A4" s="173" t="s">
        <v>61</v>
      </c>
      <c r="B4" s="313">
        <v>113</v>
      </c>
      <c r="C4" s="313">
        <v>60</v>
      </c>
      <c r="D4" s="313">
        <v>55</v>
      </c>
      <c r="E4" s="313">
        <v>402</v>
      </c>
      <c r="F4" s="313">
        <v>75</v>
      </c>
      <c r="G4" s="313">
        <v>70</v>
      </c>
      <c r="H4" s="313">
        <v>43</v>
      </c>
      <c r="I4" s="313">
        <v>82</v>
      </c>
      <c r="J4" s="313">
        <v>89</v>
      </c>
      <c r="K4" s="313">
        <v>90</v>
      </c>
      <c r="L4" s="232"/>
      <c r="M4" s="314"/>
      <c r="N4" s="232">
        <f>SUM(B4:M4)</f>
        <v>1079</v>
      </c>
    </row>
    <row r="5" spans="1:14" x14ac:dyDescent="0.25">
      <c r="A5" s="170" t="s">
        <v>62</v>
      </c>
      <c r="B5" s="313">
        <v>18</v>
      </c>
      <c r="C5" s="313"/>
      <c r="D5" s="313">
        <v>5</v>
      </c>
      <c r="E5" s="313">
        <v>22</v>
      </c>
      <c r="F5" s="313">
        <v>32</v>
      </c>
      <c r="G5" s="313">
        <v>32</v>
      </c>
      <c r="H5" s="313">
        <v>25</v>
      </c>
      <c r="I5" s="313">
        <v>63</v>
      </c>
      <c r="J5" s="313">
        <v>38</v>
      </c>
      <c r="K5" s="313">
        <v>33</v>
      </c>
      <c r="L5" s="232"/>
      <c r="M5" s="314"/>
      <c r="N5" s="232">
        <f>SUM(B5:M5)</f>
        <v>268</v>
      </c>
    </row>
    <row r="6" spans="1:14" x14ac:dyDescent="0.25">
      <c r="A6" s="170" t="s">
        <v>75</v>
      </c>
      <c r="B6" s="313">
        <v>87</v>
      </c>
      <c r="C6" s="313">
        <v>32</v>
      </c>
      <c r="D6" s="313">
        <v>50</v>
      </c>
      <c r="E6" s="313">
        <v>130</v>
      </c>
      <c r="F6" s="313">
        <v>41</v>
      </c>
      <c r="G6" s="313">
        <v>54</v>
      </c>
      <c r="H6" s="313">
        <v>13</v>
      </c>
      <c r="I6" s="313">
        <v>56</v>
      </c>
      <c r="J6" s="313">
        <v>95</v>
      </c>
      <c r="K6" s="313">
        <v>60</v>
      </c>
      <c r="L6" s="232"/>
      <c r="M6" s="314"/>
      <c r="N6" s="232">
        <f>SUM(B6:M6)</f>
        <v>618</v>
      </c>
    </row>
    <row r="7" spans="1:14" ht="15.75" thickBot="1" x14ac:dyDescent="0.3">
      <c r="A7" s="171" t="s">
        <v>63</v>
      </c>
      <c r="B7" s="215">
        <v>4</v>
      </c>
      <c r="C7" s="215">
        <v>0</v>
      </c>
      <c r="D7" s="215">
        <v>0</v>
      </c>
      <c r="E7" s="215">
        <v>0</v>
      </c>
      <c r="F7" s="215">
        <v>0</v>
      </c>
      <c r="G7" s="215">
        <v>2</v>
      </c>
      <c r="H7" s="215">
        <v>0</v>
      </c>
      <c r="I7" s="215">
        <v>0</v>
      </c>
      <c r="J7" s="215">
        <v>0</v>
      </c>
      <c r="K7" s="215">
        <v>22</v>
      </c>
      <c r="L7" s="233"/>
      <c r="M7" s="77"/>
      <c r="N7" s="233">
        <f>SUM(B7:M7)</f>
        <v>28</v>
      </c>
    </row>
    <row r="8" spans="1:14" x14ac:dyDescent="0.25">
      <c r="A8" s="259" t="s">
        <v>49</v>
      </c>
      <c r="B8" s="219">
        <f>SUM(B3:B7)</f>
        <v>246</v>
      </c>
      <c r="C8" s="219">
        <f t="shared" ref="C8:M8" si="0">SUM(C3:C7)</f>
        <v>98</v>
      </c>
      <c r="D8" s="219">
        <f t="shared" si="0"/>
        <v>136</v>
      </c>
      <c r="E8" s="219">
        <f t="shared" si="0"/>
        <v>650</v>
      </c>
      <c r="F8" s="219">
        <f t="shared" si="0"/>
        <v>164</v>
      </c>
      <c r="G8" s="219">
        <f t="shared" si="0"/>
        <v>190</v>
      </c>
      <c r="H8" s="219">
        <f t="shared" si="0"/>
        <v>102</v>
      </c>
      <c r="I8" s="219">
        <f t="shared" si="0"/>
        <v>244</v>
      </c>
      <c r="J8" s="219">
        <f t="shared" si="0"/>
        <v>248</v>
      </c>
      <c r="K8" s="219">
        <f t="shared" si="0"/>
        <v>223</v>
      </c>
      <c r="L8" s="219">
        <f t="shared" si="0"/>
        <v>0</v>
      </c>
      <c r="M8" s="219">
        <f t="shared" si="0"/>
        <v>0</v>
      </c>
      <c r="N8" s="257">
        <f>SUM(N3:N7)</f>
        <v>2301</v>
      </c>
    </row>
    <row r="9" spans="1:14" ht="15.75" thickBot="1" x14ac:dyDescent="0.3"/>
    <row r="10" spans="1:14" ht="15.75" thickBot="1" x14ac:dyDescent="0.3">
      <c r="A10" s="379" t="s">
        <v>90</v>
      </c>
      <c r="B10" s="379"/>
      <c r="C10" s="379"/>
      <c r="D10" s="379"/>
      <c r="E10" s="379"/>
      <c r="F10" s="379"/>
      <c r="G10" s="379"/>
      <c r="H10" s="379"/>
      <c r="I10" s="379"/>
      <c r="J10" s="379"/>
      <c r="K10" s="379"/>
      <c r="L10" s="379"/>
      <c r="M10" s="379"/>
      <c r="N10" s="380"/>
    </row>
    <row r="11" spans="1:14" ht="15.75" thickBot="1" x14ac:dyDescent="0.3">
      <c r="A11" s="309"/>
      <c r="B11" s="306" t="s">
        <v>37</v>
      </c>
      <c r="C11" s="223" t="s">
        <v>38</v>
      </c>
      <c r="D11" s="223" t="s">
        <v>39</v>
      </c>
      <c r="E11" s="223" t="s">
        <v>40</v>
      </c>
      <c r="F11" s="223" t="s">
        <v>41</v>
      </c>
      <c r="G11" s="223" t="s">
        <v>42</v>
      </c>
      <c r="H11" s="223" t="s">
        <v>43</v>
      </c>
      <c r="I11" s="306" t="s">
        <v>44</v>
      </c>
      <c r="J11" s="306" t="s">
        <v>36</v>
      </c>
      <c r="K11" s="306" t="s">
        <v>35</v>
      </c>
      <c r="L11" s="306" t="s">
        <v>33</v>
      </c>
      <c r="M11" s="306" t="s">
        <v>34</v>
      </c>
      <c r="N11" s="295" t="s">
        <v>49</v>
      </c>
    </row>
    <row r="12" spans="1:14" x14ac:dyDescent="0.25">
      <c r="A12" s="172" t="s">
        <v>27</v>
      </c>
      <c r="B12" s="342">
        <v>92.42</v>
      </c>
      <c r="C12" s="342">
        <v>28.31</v>
      </c>
      <c r="D12" s="342">
        <v>77.42</v>
      </c>
      <c r="E12" s="342">
        <v>428.4</v>
      </c>
      <c r="F12" s="342">
        <v>61.71</v>
      </c>
      <c r="G12" s="342">
        <v>139.6</v>
      </c>
      <c r="H12" s="342">
        <v>87.25</v>
      </c>
      <c r="I12" s="342">
        <v>183.51</v>
      </c>
      <c r="J12" s="342">
        <v>87.99</v>
      </c>
      <c r="K12" s="342">
        <v>65.900000000000006</v>
      </c>
      <c r="L12" s="343"/>
      <c r="M12" s="344"/>
      <c r="N12" s="343">
        <f>SUM(B12:M12)</f>
        <v>1252.51</v>
      </c>
    </row>
    <row r="13" spans="1:14" x14ac:dyDescent="0.25">
      <c r="A13" s="173" t="s">
        <v>61</v>
      </c>
      <c r="B13" s="345">
        <v>655.42</v>
      </c>
      <c r="C13" s="345">
        <v>340.7</v>
      </c>
      <c r="D13" s="345">
        <v>349.89</v>
      </c>
      <c r="E13" s="345">
        <v>2387.63</v>
      </c>
      <c r="F13" s="345">
        <v>459.89</v>
      </c>
      <c r="G13" s="345">
        <v>378.25</v>
      </c>
      <c r="H13" s="345">
        <v>245.86</v>
      </c>
      <c r="I13" s="345">
        <v>439.21</v>
      </c>
      <c r="J13" s="345">
        <v>483.26</v>
      </c>
      <c r="K13" s="345">
        <v>487.82</v>
      </c>
      <c r="L13" s="346"/>
      <c r="M13" s="347"/>
      <c r="N13" s="346">
        <f>SUM(B13:M13)</f>
        <v>6227.9299999999994</v>
      </c>
    </row>
    <row r="14" spans="1:14" x14ac:dyDescent="0.25">
      <c r="A14" s="170" t="s">
        <v>62</v>
      </c>
      <c r="B14" s="345">
        <v>88.02</v>
      </c>
      <c r="C14" s="345"/>
      <c r="D14" s="345">
        <v>19.559999999999999</v>
      </c>
      <c r="E14" s="345">
        <v>79.290000000000006</v>
      </c>
      <c r="F14" s="345">
        <v>123.26</v>
      </c>
      <c r="G14" s="345">
        <v>124.23</v>
      </c>
      <c r="H14" s="345">
        <v>95.98</v>
      </c>
      <c r="I14" s="345">
        <v>268.58</v>
      </c>
      <c r="J14" s="345">
        <v>115.75</v>
      </c>
      <c r="K14" s="345">
        <v>115.95</v>
      </c>
      <c r="L14" s="346"/>
      <c r="M14" s="347"/>
      <c r="N14" s="346">
        <f>SUM(B14:M14)</f>
        <v>1030.6200000000001</v>
      </c>
    </row>
    <row r="15" spans="1:14" x14ac:dyDescent="0.25">
      <c r="A15" s="170" t="s">
        <v>75</v>
      </c>
      <c r="B15" s="345">
        <v>634.12</v>
      </c>
      <c r="C15" s="345">
        <v>253.54</v>
      </c>
      <c r="D15" s="345">
        <v>320</v>
      </c>
      <c r="E15" s="345">
        <v>1044.92</v>
      </c>
      <c r="F15" s="345">
        <v>255.66</v>
      </c>
      <c r="G15" s="345">
        <v>457.44</v>
      </c>
      <c r="H15" s="345">
        <v>83.66</v>
      </c>
      <c r="I15" s="345">
        <v>410.28</v>
      </c>
      <c r="J15" s="345">
        <v>683.44</v>
      </c>
      <c r="K15" s="345">
        <v>426.2</v>
      </c>
      <c r="L15" s="346"/>
      <c r="M15" s="347"/>
      <c r="N15" s="346">
        <f>SUM(B15:M15)</f>
        <v>4569.2599999999993</v>
      </c>
    </row>
    <row r="16" spans="1:14" ht="15.75" thickBot="1" x14ac:dyDescent="0.3">
      <c r="A16" s="171" t="s">
        <v>63</v>
      </c>
      <c r="B16" s="348">
        <v>24.46</v>
      </c>
      <c r="C16" s="348">
        <v>0</v>
      </c>
      <c r="D16" s="348">
        <v>0</v>
      </c>
      <c r="E16" s="348">
        <v>0</v>
      </c>
      <c r="F16" s="348">
        <v>0</v>
      </c>
      <c r="G16" s="348">
        <v>9.76</v>
      </c>
      <c r="H16" s="348">
        <v>0</v>
      </c>
      <c r="I16" s="348">
        <v>0</v>
      </c>
      <c r="J16" s="348">
        <v>0</v>
      </c>
      <c r="K16" s="348">
        <v>0</v>
      </c>
      <c r="L16" s="349"/>
      <c r="M16" s="350"/>
      <c r="N16" s="349">
        <f>SUM(B16:M16)</f>
        <v>34.22</v>
      </c>
    </row>
    <row r="17" spans="1:14" x14ac:dyDescent="0.25">
      <c r="A17" s="259" t="s">
        <v>49</v>
      </c>
      <c r="B17" s="351">
        <f>SUM(B12:B16)</f>
        <v>1494.44</v>
      </c>
      <c r="C17" s="351">
        <f t="shared" ref="C17:M17" si="1">SUM(C12:C16)</f>
        <v>622.54999999999995</v>
      </c>
      <c r="D17" s="351">
        <f t="shared" si="1"/>
        <v>766.87</v>
      </c>
      <c r="E17" s="351">
        <f t="shared" si="1"/>
        <v>3940.2400000000002</v>
      </c>
      <c r="F17" s="351">
        <f t="shared" si="1"/>
        <v>900.52</v>
      </c>
      <c r="G17" s="351">
        <f t="shared" si="1"/>
        <v>1109.28</v>
      </c>
      <c r="H17" s="351">
        <f t="shared" si="1"/>
        <v>512.75</v>
      </c>
      <c r="I17" s="351">
        <f t="shared" si="1"/>
        <v>1301.58</v>
      </c>
      <c r="J17" s="351">
        <f t="shared" si="1"/>
        <v>1370.44</v>
      </c>
      <c r="K17" s="351">
        <f t="shared" si="1"/>
        <v>1095.8700000000001</v>
      </c>
      <c r="L17" s="351">
        <f t="shared" si="1"/>
        <v>0</v>
      </c>
      <c r="M17" s="351">
        <f t="shared" si="1"/>
        <v>0</v>
      </c>
      <c r="N17" s="351">
        <f>SUM(N12:N16)</f>
        <v>13114.539999999999</v>
      </c>
    </row>
    <row r="18" spans="1:14" ht="15.75" thickBot="1" x14ac:dyDescent="0.3"/>
    <row r="19" spans="1:14" ht="15.75" thickBot="1" x14ac:dyDescent="0.3">
      <c r="A19" s="379" t="s">
        <v>72</v>
      </c>
      <c r="B19" s="379"/>
      <c r="C19" s="379"/>
      <c r="D19" s="379"/>
      <c r="E19" s="379"/>
      <c r="F19" s="379"/>
      <c r="G19" s="379"/>
      <c r="H19" s="379"/>
      <c r="I19" s="379"/>
      <c r="J19" s="379"/>
      <c r="K19" s="379"/>
      <c r="L19" s="379"/>
      <c r="M19" s="379"/>
      <c r="N19" s="380"/>
    </row>
    <row r="20" spans="1:14" ht="15.75" thickBot="1" x14ac:dyDescent="0.3">
      <c r="A20" s="309"/>
      <c r="B20" s="306" t="s">
        <v>37</v>
      </c>
      <c r="C20" s="223" t="s">
        <v>38</v>
      </c>
      <c r="D20" s="223" t="s">
        <v>39</v>
      </c>
      <c r="E20" s="223" t="s">
        <v>40</v>
      </c>
      <c r="F20" s="223" t="s">
        <v>41</v>
      </c>
      <c r="G20" s="223" t="s">
        <v>42</v>
      </c>
      <c r="H20" s="223" t="s">
        <v>43</v>
      </c>
      <c r="I20" s="306" t="s">
        <v>44</v>
      </c>
      <c r="J20" s="306" t="s">
        <v>36</v>
      </c>
      <c r="K20" s="306" t="s">
        <v>35</v>
      </c>
      <c r="L20" s="306" t="s">
        <v>33</v>
      </c>
      <c r="M20" s="306" t="s">
        <v>34</v>
      </c>
      <c r="N20" s="295" t="s">
        <v>49</v>
      </c>
    </row>
    <row r="21" spans="1:14" x14ac:dyDescent="0.25">
      <c r="A21" s="172" t="s">
        <v>27</v>
      </c>
      <c r="B21" s="250">
        <v>12</v>
      </c>
      <c r="C21" s="250">
        <v>18</v>
      </c>
      <c r="D21" s="250">
        <v>13</v>
      </c>
      <c r="E21" s="250">
        <v>140</v>
      </c>
      <c r="F21" s="263">
        <v>13</v>
      </c>
      <c r="G21" s="250">
        <v>6</v>
      </c>
      <c r="H21" s="250">
        <v>23</v>
      </c>
      <c r="I21" s="250">
        <v>44</v>
      </c>
      <c r="J21" s="250">
        <v>17</v>
      </c>
      <c r="K21" s="250">
        <v>136</v>
      </c>
      <c r="L21" s="231">
        <v>21</v>
      </c>
      <c r="M21" s="251">
        <v>15</v>
      </c>
      <c r="N21" s="231">
        <f>SUM(B21+C21+D21+E21+F21+G21+H21+I21+J21+K21+L21+M21)</f>
        <v>458</v>
      </c>
    </row>
    <row r="22" spans="1:14" x14ac:dyDescent="0.25">
      <c r="A22" s="173" t="s">
        <v>61</v>
      </c>
      <c r="B22" s="252">
        <v>130</v>
      </c>
      <c r="C22" s="252">
        <v>125</v>
      </c>
      <c r="D22" s="252">
        <v>28</v>
      </c>
      <c r="E22" s="252">
        <v>414</v>
      </c>
      <c r="F22" s="265">
        <v>79</v>
      </c>
      <c r="G22" s="252">
        <v>32</v>
      </c>
      <c r="H22" s="252">
        <v>29</v>
      </c>
      <c r="I22" s="252">
        <v>53</v>
      </c>
      <c r="J22" s="252">
        <v>80</v>
      </c>
      <c r="K22" s="252">
        <v>85</v>
      </c>
      <c r="L22" s="232">
        <v>111</v>
      </c>
      <c r="M22" s="253">
        <v>65</v>
      </c>
      <c r="N22" s="232">
        <f>SUM(B22+C22+D22+E22+F22+G22+H22+I22+J22+K22+L22+M22)</f>
        <v>1231</v>
      </c>
    </row>
    <row r="23" spans="1:14" x14ac:dyDescent="0.25">
      <c r="A23" s="170" t="s">
        <v>62</v>
      </c>
      <c r="B23" s="252">
        <v>41</v>
      </c>
      <c r="C23" s="252">
        <v>36</v>
      </c>
      <c r="D23" s="252">
        <v>16</v>
      </c>
      <c r="E23" s="252">
        <v>19</v>
      </c>
      <c r="F23" s="252">
        <v>40</v>
      </c>
      <c r="G23" s="252">
        <v>0</v>
      </c>
      <c r="H23" s="252">
        <v>11</v>
      </c>
      <c r="I23" s="252">
        <v>19</v>
      </c>
      <c r="J23" s="252">
        <v>14</v>
      </c>
      <c r="K23" s="252">
        <v>50</v>
      </c>
      <c r="L23" s="232">
        <v>38</v>
      </c>
      <c r="M23" s="253">
        <v>12</v>
      </c>
      <c r="N23" s="232">
        <f>SUM(B23+C23+D23+E23+F23+G23+H23+I23+J23+K23+L23+M23)</f>
        <v>296</v>
      </c>
    </row>
    <row r="24" spans="1:14" x14ac:dyDescent="0.25">
      <c r="A24" s="170" t="s">
        <v>75</v>
      </c>
      <c r="B24" s="277"/>
      <c r="C24" s="277"/>
      <c r="D24" s="277"/>
      <c r="E24" s="277"/>
      <c r="F24" s="277"/>
      <c r="G24" s="277"/>
      <c r="H24" s="277">
        <v>25</v>
      </c>
      <c r="I24" s="277">
        <v>52</v>
      </c>
      <c r="J24" s="277">
        <v>80</v>
      </c>
      <c r="K24" s="277">
        <v>9</v>
      </c>
      <c r="L24" s="232">
        <v>43</v>
      </c>
      <c r="M24" s="278">
        <v>61</v>
      </c>
      <c r="N24" s="232">
        <f>SUM(B24+C24+D24+E24+F24+G24+H24+I24+J24+K24+L24+M24)</f>
        <v>270</v>
      </c>
    </row>
    <row r="25" spans="1:14" ht="15.75" thickBot="1" x14ac:dyDescent="0.3">
      <c r="A25" s="171" t="s">
        <v>63</v>
      </c>
      <c r="B25" s="215">
        <v>10</v>
      </c>
      <c r="C25" s="215">
        <v>5</v>
      </c>
      <c r="D25" s="215">
        <v>0</v>
      </c>
      <c r="E25" s="215">
        <v>2</v>
      </c>
      <c r="F25" s="215">
        <v>2</v>
      </c>
      <c r="G25" s="215">
        <v>7</v>
      </c>
      <c r="H25" s="215">
        <v>0</v>
      </c>
      <c r="I25" s="215">
        <v>0</v>
      </c>
      <c r="J25" s="215">
        <v>4</v>
      </c>
      <c r="K25" s="215">
        <v>0</v>
      </c>
      <c r="L25" s="233">
        <v>0</v>
      </c>
      <c r="M25" s="77">
        <v>0</v>
      </c>
      <c r="N25" s="233">
        <f>SUM(B25+C25+D25+E25+F25+G25+H25+I25+J25+K25+L25+M25)</f>
        <v>30</v>
      </c>
    </row>
    <row r="26" spans="1:14" x14ac:dyDescent="0.25">
      <c r="A26" s="259" t="s">
        <v>49</v>
      </c>
      <c r="B26" s="219">
        <f>SUM(B21:B25)</f>
        <v>193</v>
      </c>
      <c r="C26" s="219">
        <f t="shared" ref="C26:M26" si="2">SUM(C21:C25)</f>
        <v>184</v>
      </c>
      <c r="D26" s="219">
        <f t="shared" si="2"/>
        <v>57</v>
      </c>
      <c r="E26" s="219">
        <f t="shared" si="2"/>
        <v>575</v>
      </c>
      <c r="F26" s="219">
        <f t="shared" si="2"/>
        <v>134</v>
      </c>
      <c r="G26" s="219">
        <f t="shared" si="2"/>
        <v>45</v>
      </c>
      <c r="H26" s="219">
        <f t="shared" si="2"/>
        <v>88</v>
      </c>
      <c r="I26" s="219">
        <f t="shared" si="2"/>
        <v>168</v>
      </c>
      <c r="J26" s="219">
        <f t="shared" si="2"/>
        <v>195</v>
      </c>
      <c r="K26" s="219">
        <f t="shared" si="2"/>
        <v>280</v>
      </c>
      <c r="L26" s="219">
        <f t="shared" si="2"/>
        <v>213</v>
      </c>
      <c r="M26" s="219">
        <f t="shared" si="2"/>
        <v>153</v>
      </c>
      <c r="N26" s="257">
        <f>SUM(N21:N25)</f>
        <v>2285</v>
      </c>
    </row>
    <row r="27" spans="1:14" ht="15.75" thickBot="1" x14ac:dyDescent="0.3"/>
    <row r="28" spans="1:14" ht="15.75" thickBot="1" x14ac:dyDescent="0.3">
      <c r="A28" s="379" t="s">
        <v>73</v>
      </c>
      <c r="B28" s="379"/>
      <c r="C28" s="379"/>
      <c r="D28" s="379"/>
      <c r="E28" s="379"/>
      <c r="F28" s="379"/>
      <c r="G28" s="379"/>
      <c r="H28" s="379"/>
      <c r="I28" s="379"/>
      <c r="J28" s="379"/>
      <c r="K28" s="379"/>
      <c r="L28" s="379"/>
      <c r="M28" s="379"/>
      <c r="N28" s="380"/>
    </row>
    <row r="29" spans="1:14" ht="15.75" thickBot="1" x14ac:dyDescent="0.3">
      <c r="A29" s="248"/>
      <c r="B29" s="245" t="s">
        <v>37</v>
      </c>
      <c r="C29" s="223" t="s">
        <v>38</v>
      </c>
      <c r="D29" s="223" t="s">
        <v>39</v>
      </c>
      <c r="E29" s="223" t="s">
        <v>40</v>
      </c>
      <c r="F29" s="223" t="s">
        <v>41</v>
      </c>
      <c r="G29" s="223" t="s">
        <v>42</v>
      </c>
      <c r="H29" s="223" t="s">
        <v>43</v>
      </c>
      <c r="I29" s="245" t="s">
        <v>44</v>
      </c>
      <c r="J29" s="245" t="s">
        <v>36</v>
      </c>
      <c r="K29" s="245" t="s">
        <v>35</v>
      </c>
      <c r="L29" s="245" t="s">
        <v>33</v>
      </c>
      <c r="M29" s="245" t="s">
        <v>34</v>
      </c>
      <c r="N29" s="214" t="s">
        <v>49</v>
      </c>
    </row>
    <row r="30" spans="1:14" x14ac:dyDescent="0.25">
      <c r="A30" s="172" t="s">
        <v>27</v>
      </c>
      <c r="B30" s="177">
        <v>41.71</v>
      </c>
      <c r="C30" s="177">
        <v>62.08</v>
      </c>
      <c r="D30" s="177">
        <v>43.26</v>
      </c>
      <c r="E30" s="177">
        <v>449.81</v>
      </c>
      <c r="F30" s="266">
        <v>45.2</v>
      </c>
      <c r="G30" s="174">
        <v>23.28</v>
      </c>
      <c r="H30" s="174">
        <v>62.08</v>
      </c>
      <c r="I30" s="174">
        <v>131.75</v>
      </c>
      <c r="J30" s="174">
        <v>56.26</v>
      </c>
      <c r="K30" s="174">
        <v>86.91</v>
      </c>
      <c r="L30" s="180">
        <v>27.01</v>
      </c>
      <c r="M30" s="174">
        <v>48.5</v>
      </c>
      <c r="N30" s="181">
        <f>SUM(B30+C30+D30+E30+F30+G30+H30+I30+J30+K30+L30+M30)</f>
        <v>1077.8500000000001</v>
      </c>
    </row>
    <row r="31" spans="1:14" x14ac:dyDescent="0.25">
      <c r="A31" s="173" t="s">
        <v>61</v>
      </c>
      <c r="B31" s="178">
        <v>598.48</v>
      </c>
      <c r="C31" s="178">
        <v>561.17999999999995</v>
      </c>
      <c r="D31" s="178">
        <v>137.63999999999999</v>
      </c>
      <c r="E31" s="178">
        <v>2096.44</v>
      </c>
      <c r="F31" s="267">
        <v>370.34</v>
      </c>
      <c r="G31" s="175">
        <v>134.34</v>
      </c>
      <c r="H31" s="175">
        <v>135.94</v>
      </c>
      <c r="I31" s="175">
        <v>240.02</v>
      </c>
      <c r="J31" s="175">
        <v>377.8</v>
      </c>
      <c r="K31" s="175">
        <v>352.3</v>
      </c>
      <c r="L31" s="175">
        <v>583.88</v>
      </c>
      <c r="M31" s="175">
        <v>343.24</v>
      </c>
      <c r="N31" s="181">
        <f>SUM(B31+C31+D31+E31+F31+G31+H31+I31+J31+K31+L31+M31)</f>
        <v>5931.6</v>
      </c>
    </row>
    <row r="32" spans="1:14" x14ac:dyDescent="0.25">
      <c r="A32" s="170" t="s">
        <v>62</v>
      </c>
      <c r="B32" s="178">
        <v>110.41</v>
      </c>
      <c r="C32" s="178">
        <v>89.1</v>
      </c>
      <c r="D32" s="178">
        <v>36.31</v>
      </c>
      <c r="E32" s="178">
        <v>48.87</v>
      </c>
      <c r="F32" s="267">
        <v>122.51</v>
      </c>
      <c r="G32" s="175">
        <v>0</v>
      </c>
      <c r="H32" s="175">
        <v>26</v>
      </c>
      <c r="I32" s="175">
        <v>52.3</v>
      </c>
      <c r="J32" s="175">
        <v>25.83</v>
      </c>
      <c r="K32" s="175">
        <v>129.77000000000001</v>
      </c>
      <c r="L32" s="175">
        <v>89.77</v>
      </c>
      <c r="M32" s="175">
        <v>31.96</v>
      </c>
      <c r="N32" s="181">
        <f>SUM(B32+C32+D32+E32+F32+G32+H32+I32+J32+K32+L32+M32)</f>
        <v>762.83</v>
      </c>
    </row>
    <row r="33" spans="1:14" x14ac:dyDescent="0.25">
      <c r="A33" s="170" t="s">
        <v>75</v>
      </c>
      <c r="B33" s="178"/>
      <c r="C33" s="178"/>
      <c r="D33" s="178"/>
      <c r="E33" s="178"/>
      <c r="F33" s="267"/>
      <c r="G33" s="175"/>
      <c r="H33" s="175">
        <v>120.22</v>
      </c>
      <c r="I33" s="175">
        <v>382.14</v>
      </c>
      <c r="J33" s="175">
        <v>462.62</v>
      </c>
      <c r="K33" s="175">
        <v>251.54</v>
      </c>
      <c r="L33" s="175">
        <v>307.92</v>
      </c>
      <c r="M33" s="175">
        <v>491.32</v>
      </c>
      <c r="N33" s="181">
        <f>SUM(B33+C33+D33+E33+F33+G33+H33+I33+J33+K33+L33+M33)</f>
        <v>2015.76</v>
      </c>
    </row>
    <row r="34" spans="1:14" ht="15.75" thickBot="1" x14ac:dyDescent="0.3">
      <c r="A34" s="171" t="s">
        <v>63</v>
      </c>
      <c r="B34" s="179">
        <v>52.5</v>
      </c>
      <c r="C34" s="179">
        <v>27.16</v>
      </c>
      <c r="D34" s="179">
        <v>0</v>
      </c>
      <c r="E34" s="179">
        <v>11.64</v>
      </c>
      <c r="F34" s="176">
        <v>7.76</v>
      </c>
      <c r="G34" s="176">
        <v>18.88</v>
      </c>
      <c r="H34" s="176">
        <v>0</v>
      </c>
      <c r="I34" s="176">
        <v>0</v>
      </c>
      <c r="J34" s="176">
        <v>20</v>
      </c>
      <c r="K34" s="176">
        <v>0</v>
      </c>
      <c r="L34" s="101">
        <v>0</v>
      </c>
      <c r="M34" s="176">
        <v>0</v>
      </c>
      <c r="N34" s="182">
        <f>SUM(B34+C34+D34+E34+F34+G34+H34+I34+J34+K34+L34+M34)</f>
        <v>137.94</v>
      </c>
    </row>
    <row r="35" spans="1:14" x14ac:dyDescent="0.25">
      <c r="A35" s="259" t="s">
        <v>49</v>
      </c>
      <c r="B35" s="261">
        <f>SUM(B30:B34)</f>
        <v>803.1</v>
      </c>
      <c r="C35" s="261">
        <f t="shared" ref="C35" si="3">SUM(C30:C34)</f>
        <v>739.52</v>
      </c>
      <c r="D35" s="261">
        <f t="shared" ref="D35" si="4">SUM(D30:D34)</f>
        <v>217.20999999999998</v>
      </c>
      <c r="E35" s="261">
        <f t="shared" ref="E35" si="5">SUM(E30:E34)</f>
        <v>2606.7599999999998</v>
      </c>
      <c r="F35" s="261">
        <f t="shared" ref="F35" si="6">SUM(F30:F34)</f>
        <v>545.80999999999995</v>
      </c>
      <c r="G35" s="261">
        <f t="shared" ref="G35" si="7">SUM(G30:G34)</f>
        <v>176.5</v>
      </c>
      <c r="H35" s="261">
        <f t="shared" ref="H35" si="8">SUM(H30:H34)</f>
        <v>344.24</v>
      </c>
      <c r="I35" s="261">
        <f t="shared" ref="I35" si="9">SUM(I30:I34)</f>
        <v>806.21</v>
      </c>
      <c r="J35" s="261">
        <f t="shared" ref="J35" si="10">SUM(J30:J34)</f>
        <v>942.51</v>
      </c>
      <c r="K35" s="261">
        <f t="shared" ref="K35" si="11">SUM(K30:K34)</f>
        <v>820.52</v>
      </c>
      <c r="L35" s="261">
        <f t="shared" ref="L35" si="12">SUM(L30:L34)</f>
        <v>1008.5799999999999</v>
      </c>
      <c r="M35" s="261">
        <f t="shared" ref="M35" si="13">SUM(M30:M34)</f>
        <v>915.02</v>
      </c>
      <c r="N35" s="260">
        <f>SUM(N30:N34)</f>
        <v>9925.9800000000014</v>
      </c>
    </row>
    <row r="36" spans="1:14" ht="15.75" thickBot="1" x14ac:dyDescent="0.3">
      <c r="N36" s="240"/>
    </row>
    <row r="37" spans="1:14" ht="15.75" thickBot="1" x14ac:dyDescent="0.3">
      <c r="A37" s="379" t="s">
        <v>70</v>
      </c>
      <c r="B37" s="379"/>
      <c r="C37" s="379"/>
      <c r="D37" s="379"/>
      <c r="E37" s="379"/>
      <c r="F37" s="379"/>
      <c r="G37" s="379"/>
      <c r="H37" s="379"/>
      <c r="I37" s="379"/>
      <c r="J37" s="379"/>
      <c r="K37" s="379"/>
      <c r="L37" s="379"/>
      <c r="M37" s="379"/>
      <c r="N37" s="380"/>
    </row>
    <row r="38" spans="1:14" s="84" customFormat="1" ht="15.75" thickBot="1" x14ac:dyDescent="0.3">
      <c r="A38" s="224"/>
      <c r="B38" s="229" t="s">
        <v>37</v>
      </c>
      <c r="C38" s="223" t="s">
        <v>38</v>
      </c>
      <c r="D38" s="223" t="s">
        <v>39</v>
      </c>
      <c r="E38" s="223" t="s">
        <v>40</v>
      </c>
      <c r="F38" s="223" t="s">
        <v>41</v>
      </c>
      <c r="G38" s="223" t="s">
        <v>42</v>
      </c>
      <c r="H38" s="223" t="s">
        <v>43</v>
      </c>
      <c r="I38" s="229" t="s">
        <v>44</v>
      </c>
      <c r="J38" s="229" t="s">
        <v>36</v>
      </c>
      <c r="K38" s="229" t="s">
        <v>35</v>
      </c>
      <c r="L38" s="229" t="s">
        <v>33</v>
      </c>
      <c r="M38" s="229" t="s">
        <v>34</v>
      </c>
      <c r="N38" s="295" t="s">
        <v>49</v>
      </c>
    </row>
    <row r="39" spans="1:14" ht="15" customHeight="1" x14ac:dyDescent="0.25">
      <c r="A39" s="172" t="s">
        <v>27</v>
      </c>
      <c r="B39" s="225"/>
      <c r="C39" s="225">
        <v>7</v>
      </c>
      <c r="D39" s="225"/>
      <c r="E39" s="225">
        <v>68</v>
      </c>
      <c r="F39" s="225">
        <f>[1]Maig!$G$227</f>
        <v>59</v>
      </c>
      <c r="G39" s="225">
        <f>2+4+2+8+4+3+1</f>
        <v>24</v>
      </c>
      <c r="H39" s="225">
        <v>42</v>
      </c>
      <c r="I39" s="225">
        <v>88</v>
      </c>
      <c r="J39" s="225">
        <v>129</v>
      </c>
      <c r="K39" s="225">
        <v>169</v>
      </c>
      <c r="L39" s="231">
        <v>42</v>
      </c>
      <c r="M39" s="226">
        <v>20</v>
      </c>
      <c r="N39" s="231">
        <f>SUM(B39+C39+D39+E39+F39+G39+H39+I39+J39+K39+L39+M39)</f>
        <v>648</v>
      </c>
    </row>
    <row r="40" spans="1:14" x14ac:dyDescent="0.25">
      <c r="A40" s="173" t="s">
        <v>61</v>
      </c>
      <c r="B40" s="227">
        <v>7</v>
      </c>
      <c r="C40" s="227">
        <v>1</v>
      </c>
      <c r="D40" s="227">
        <v>9</v>
      </c>
      <c r="E40" s="227">
        <v>80</v>
      </c>
      <c r="F40" s="227">
        <f>[1]Maig!$G$228</f>
        <v>93</v>
      </c>
      <c r="G40" s="227">
        <v>62</v>
      </c>
      <c r="H40" s="227">
        <v>62</v>
      </c>
      <c r="I40" s="227">
        <v>149</v>
      </c>
      <c r="J40" s="227">
        <v>64</v>
      </c>
      <c r="K40" s="227">
        <v>121</v>
      </c>
      <c r="L40" s="232">
        <v>91</v>
      </c>
      <c r="M40" s="228">
        <v>40</v>
      </c>
      <c r="N40" s="232">
        <f>SUM(B40+C40+D40+E40+F40+G40+H40+I40+J40+K40+L40+M40)</f>
        <v>779</v>
      </c>
    </row>
    <row r="41" spans="1:14" x14ac:dyDescent="0.25">
      <c r="A41" s="170" t="s">
        <v>62</v>
      </c>
      <c r="B41" s="227"/>
      <c r="C41" s="227"/>
      <c r="D41" s="227">
        <v>4</v>
      </c>
      <c r="E41" s="227">
        <v>35</v>
      </c>
      <c r="F41" s="227">
        <v>92</v>
      </c>
      <c r="G41" s="227">
        <v>91</v>
      </c>
      <c r="H41" s="227">
        <v>17</v>
      </c>
      <c r="I41" s="227">
        <v>92</v>
      </c>
      <c r="J41" s="227">
        <v>37</v>
      </c>
      <c r="K41" s="227">
        <v>33</v>
      </c>
      <c r="L41" s="232">
        <v>20</v>
      </c>
      <c r="M41" s="228">
        <v>21</v>
      </c>
      <c r="N41" s="232">
        <f>SUM(B41+C41+D41+E41+F41+G41+H41+I41+J41+K41+L41+M41)</f>
        <v>442</v>
      </c>
    </row>
    <row r="42" spans="1:14" ht="15.75" thickBot="1" x14ac:dyDescent="0.3">
      <c r="A42" s="171" t="s">
        <v>63</v>
      </c>
      <c r="B42" s="215"/>
      <c r="C42" s="215"/>
      <c r="D42" s="215"/>
      <c r="E42" s="215">
        <v>22</v>
      </c>
      <c r="F42" s="215"/>
      <c r="G42" s="215">
        <v>12</v>
      </c>
      <c r="H42" s="215">
        <f>2+2+1+1+1+1+3</f>
        <v>11</v>
      </c>
      <c r="I42" s="215">
        <v>25</v>
      </c>
      <c r="J42" s="215">
        <v>36</v>
      </c>
      <c r="K42" s="215">
        <v>17</v>
      </c>
      <c r="L42" s="233">
        <v>19</v>
      </c>
      <c r="M42" s="77">
        <v>4</v>
      </c>
      <c r="N42" s="233">
        <f>SUM(B42+C42+D42+E42+F42+G42+H42+I42+J42+K42+L42+M42)</f>
        <v>146</v>
      </c>
    </row>
    <row r="43" spans="1:14" x14ac:dyDescent="0.25">
      <c r="A43" s="259" t="s">
        <v>49</v>
      </c>
      <c r="B43" s="219">
        <f>SUM(B39:B42)</f>
        <v>7</v>
      </c>
      <c r="C43" s="219">
        <f t="shared" ref="C43" si="14">SUM(C39:C42)</f>
        <v>8</v>
      </c>
      <c r="D43" s="219">
        <f t="shared" ref="D43" si="15">SUM(D39:D42)</f>
        <v>13</v>
      </c>
      <c r="E43" s="219">
        <f t="shared" ref="E43" si="16">SUM(E39:E42)</f>
        <v>205</v>
      </c>
      <c r="F43" s="219">
        <f t="shared" ref="F43" si="17">SUM(F39:F42)</f>
        <v>244</v>
      </c>
      <c r="G43" s="219">
        <f t="shared" ref="G43" si="18">SUM(G39:G42)</f>
        <v>189</v>
      </c>
      <c r="H43" s="219">
        <f t="shared" ref="H43" si="19">SUM(H39:H42)</f>
        <v>132</v>
      </c>
      <c r="I43" s="219">
        <f t="shared" ref="I43" si="20">SUM(I39:I42)</f>
        <v>354</v>
      </c>
      <c r="J43" s="219">
        <f t="shared" ref="J43" si="21">SUM(J39:J42)</f>
        <v>266</v>
      </c>
      <c r="K43" s="219">
        <f t="shared" ref="K43" si="22">SUM(K39:K42)</f>
        <v>340</v>
      </c>
      <c r="L43" s="219">
        <f t="shared" ref="L43" si="23">SUM(L39:L42)</f>
        <v>172</v>
      </c>
      <c r="M43" s="219">
        <f t="shared" ref="M43" si="24">SUM(M39:M42)</f>
        <v>85</v>
      </c>
      <c r="N43" s="219">
        <f>SUM(N39:N42)</f>
        <v>2015</v>
      </c>
    </row>
    <row r="44" spans="1:14" ht="15.75" thickBot="1" x14ac:dyDescent="0.3"/>
    <row r="45" spans="1:14" ht="15.75" thickBot="1" x14ac:dyDescent="0.3">
      <c r="A45" s="379" t="s">
        <v>69</v>
      </c>
      <c r="B45" s="379"/>
      <c r="C45" s="379"/>
      <c r="D45" s="379"/>
      <c r="E45" s="379"/>
      <c r="F45" s="379"/>
      <c r="G45" s="379"/>
      <c r="H45" s="379"/>
      <c r="I45" s="379"/>
      <c r="J45" s="379"/>
      <c r="K45" s="379"/>
      <c r="L45" s="379"/>
      <c r="M45" s="379"/>
      <c r="N45" s="380"/>
    </row>
    <row r="46" spans="1:14" s="84" customFormat="1" ht="15.75" thickBot="1" x14ac:dyDescent="0.3">
      <c r="A46" s="224"/>
      <c r="B46" s="229" t="s">
        <v>37</v>
      </c>
      <c r="C46" s="223" t="s">
        <v>38</v>
      </c>
      <c r="D46" s="223" t="s">
        <v>39</v>
      </c>
      <c r="E46" s="223" t="s">
        <v>40</v>
      </c>
      <c r="F46" s="223" t="s">
        <v>41</v>
      </c>
      <c r="G46" s="223" t="s">
        <v>42</v>
      </c>
      <c r="H46" s="223" t="s">
        <v>43</v>
      </c>
      <c r="I46" s="229" t="s">
        <v>44</v>
      </c>
      <c r="J46" s="229" t="s">
        <v>36</v>
      </c>
      <c r="K46" s="229" t="s">
        <v>35</v>
      </c>
      <c r="L46" s="229" t="s">
        <v>33</v>
      </c>
      <c r="M46" s="229" t="s">
        <v>34</v>
      </c>
      <c r="N46" s="214" t="s">
        <v>49</v>
      </c>
    </row>
    <row r="47" spans="1:14" ht="15" customHeight="1" x14ac:dyDescent="0.25">
      <c r="A47" s="172" t="s">
        <v>27</v>
      </c>
      <c r="B47" s="177"/>
      <c r="C47" s="177">
        <v>27</v>
      </c>
      <c r="D47" s="177"/>
      <c r="E47" s="177">
        <v>189.22</v>
      </c>
      <c r="F47" s="174">
        <f>[1]Maig!$H$227</f>
        <v>144.13999999999999</v>
      </c>
      <c r="G47" s="174">
        <f>7.76+7.76+7.76+31.04+14.55+7.76+3.88</f>
        <v>80.510000000000005</v>
      </c>
      <c r="H47" s="174">
        <v>118.58</v>
      </c>
      <c r="I47" s="174">
        <v>282.95999999999998</v>
      </c>
      <c r="J47" s="174">
        <v>361.42</v>
      </c>
      <c r="K47" s="174">
        <v>85.36</v>
      </c>
      <c r="L47" s="180">
        <v>146.47</v>
      </c>
      <c r="M47" s="174">
        <v>61.11</v>
      </c>
      <c r="N47" s="181">
        <f>SUM(B47+C47+D47+E47+F47+G47+H47+I47+J47+K47+L47+M47)</f>
        <v>1496.77</v>
      </c>
    </row>
    <row r="48" spans="1:14" x14ac:dyDescent="0.25">
      <c r="A48" s="173" t="s">
        <v>61</v>
      </c>
      <c r="B48" s="178">
        <v>34</v>
      </c>
      <c r="C48" s="178">
        <v>6</v>
      </c>
      <c r="D48" s="178">
        <v>38.799999999999997</v>
      </c>
      <c r="E48" s="178">
        <v>382.14</v>
      </c>
      <c r="F48" s="175">
        <f>[1]Maig!$H$228</f>
        <v>444.12</v>
      </c>
      <c r="G48" s="175">
        <f>32.98+15.52+17.46+9.7+36.86+11.64+17.46+11.64+23.28+19.4+9.7+64.02+11.64</f>
        <v>281.29999999999995</v>
      </c>
      <c r="H48" s="175">
        <v>292.94</v>
      </c>
      <c r="I48" s="175">
        <v>700.4</v>
      </c>
      <c r="J48" s="175">
        <v>325.92</v>
      </c>
      <c r="K48" s="175">
        <v>539.78</v>
      </c>
      <c r="L48" s="175">
        <v>449.48</v>
      </c>
      <c r="M48" s="175">
        <v>194.24</v>
      </c>
      <c r="N48" s="181">
        <f>SUM(B48+C48+D48+E48+F48+G48+H48+I48+J48+K48+L48+M48)</f>
        <v>3689.12</v>
      </c>
    </row>
    <row r="49" spans="1:14" x14ac:dyDescent="0.25">
      <c r="A49" s="170" t="s">
        <v>62</v>
      </c>
      <c r="B49" s="178"/>
      <c r="C49" s="178"/>
      <c r="D49" s="178">
        <f>5.6*2</f>
        <v>11.2</v>
      </c>
      <c r="E49" s="178">
        <f>68.24+17.55</f>
        <v>85.789999999999992</v>
      </c>
      <c r="F49" s="175">
        <v>255.7</v>
      </c>
      <c r="G49" s="175">
        <v>262.70999999999998</v>
      </c>
      <c r="H49" s="175">
        <f>6.78+5.6+13.56+6.78</f>
        <v>32.72</v>
      </c>
      <c r="I49" s="175">
        <v>222.87</v>
      </c>
      <c r="J49" s="175">
        <v>90.55</v>
      </c>
      <c r="K49" s="175">
        <v>87.15</v>
      </c>
      <c r="L49" s="175">
        <v>52.78</v>
      </c>
      <c r="M49" s="175">
        <v>47.46</v>
      </c>
      <c r="N49" s="181">
        <f>SUM(B49+C49+D49+E49+F49+G49+H49+I49+J49+K49+L49+M49)</f>
        <v>1148.93</v>
      </c>
    </row>
    <row r="50" spans="1:14" ht="15.75" thickBot="1" x14ac:dyDescent="0.3">
      <c r="A50" s="171" t="s">
        <v>63</v>
      </c>
      <c r="B50" s="179"/>
      <c r="C50" s="179"/>
      <c r="D50" s="179"/>
      <c r="E50" s="179">
        <v>76.14</v>
      </c>
      <c r="F50" s="176"/>
      <c r="G50" s="176">
        <v>24.21</v>
      </c>
      <c r="H50" s="176">
        <f>11.64+9.7+5.82+5.82+5.82+5.82+17.46</f>
        <v>62.080000000000005</v>
      </c>
      <c r="I50" s="176">
        <v>111.84</v>
      </c>
      <c r="J50" s="176">
        <v>157.72</v>
      </c>
      <c r="K50" s="176">
        <v>93.12</v>
      </c>
      <c r="L50" s="101">
        <v>91.18</v>
      </c>
      <c r="M50" s="176">
        <v>23.28</v>
      </c>
      <c r="N50" s="182">
        <f>SUM(B50+C50+D50+E50+F50+G50+H50+I50+J50+K50+L50+M50)</f>
        <v>639.56999999999994</v>
      </c>
    </row>
    <row r="51" spans="1:14" x14ac:dyDescent="0.25">
      <c r="A51" s="259" t="s">
        <v>49</v>
      </c>
      <c r="B51" s="261">
        <f>SUM(B47:B50)</f>
        <v>34</v>
      </c>
      <c r="C51" s="261">
        <f t="shared" ref="C51" si="25">SUM(C47:C50)</f>
        <v>33</v>
      </c>
      <c r="D51" s="261">
        <f t="shared" ref="D51" si="26">SUM(D47:D50)</f>
        <v>50</v>
      </c>
      <c r="E51" s="261">
        <f t="shared" ref="E51" si="27">SUM(E47:E50)</f>
        <v>733.29</v>
      </c>
      <c r="F51" s="261">
        <f t="shared" ref="F51" si="28">SUM(F47:F50)</f>
        <v>843.96</v>
      </c>
      <c r="G51" s="261">
        <f t="shared" ref="G51" si="29">SUM(G47:G50)</f>
        <v>648.73</v>
      </c>
      <c r="H51" s="261">
        <f t="shared" ref="H51" si="30">SUM(H47:H50)</f>
        <v>506.32</v>
      </c>
      <c r="I51" s="261">
        <f t="shared" ref="I51" si="31">SUM(I47:I50)</f>
        <v>1318.07</v>
      </c>
      <c r="J51" s="261">
        <f t="shared" ref="J51" si="32">SUM(J47:J50)</f>
        <v>935.61</v>
      </c>
      <c r="K51" s="261">
        <f t="shared" ref="K51" si="33">SUM(K47:K50)</f>
        <v>805.41</v>
      </c>
      <c r="L51" s="261">
        <f t="shared" ref="L51" si="34">SUM(L47:L50)</f>
        <v>739.91000000000008</v>
      </c>
      <c r="M51" s="261">
        <f t="shared" ref="M51" si="35">SUM(M47:M50)</f>
        <v>326.09000000000003</v>
      </c>
      <c r="N51" s="260">
        <f>SUM(N47:N50)</f>
        <v>6974.3899999999994</v>
      </c>
    </row>
    <row r="56" spans="1:14" x14ac:dyDescent="0.25">
      <c r="E56" s="296"/>
      <c r="F56" s="234"/>
    </row>
    <row r="57" spans="1:14" x14ac:dyDescent="0.25">
      <c r="E57" s="296"/>
      <c r="F57" s="234"/>
    </row>
    <row r="58" spans="1:14" x14ac:dyDescent="0.25">
      <c r="E58" s="296"/>
      <c r="F58" s="234"/>
    </row>
    <row r="59" spans="1:14" x14ac:dyDescent="0.25">
      <c r="E59" s="296"/>
      <c r="F59" s="234"/>
    </row>
    <row r="60" spans="1:14" x14ac:dyDescent="0.25">
      <c r="E60" s="296"/>
      <c r="F60" s="234"/>
    </row>
    <row r="61" spans="1:14" x14ac:dyDescent="0.25">
      <c r="E61" s="297"/>
      <c r="F61" s="234"/>
    </row>
    <row r="62" spans="1:14" x14ac:dyDescent="0.25">
      <c r="E62" s="296"/>
      <c r="F62" s="186"/>
    </row>
    <row r="63" spans="1:14" x14ac:dyDescent="0.25">
      <c r="E63" s="297"/>
      <c r="F63" s="186"/>
    </row>
    <row r="64" spans="1:14" x14ac:dyDescent="0.25">
      <c r="F64" s="186"/>
    </row>
    <row r="66" spans="5:5" x14ac:dyDescent="0.25">
      <c r="E66" s="296"/>
    </row>
    <row r="67" spans="5:5" x14ac:dyDescent="0.25">
      <c r="E67" s="296"/>
    </row>
    <row r="68" spans="5:5" x14ac:dyDescent="0.25">
      <c r="E68" s="296"/>
    </row>
    <row r="69" spans="5:5" x14ac:dyDescent="0.25">
      <c r="E69" s="296"/>
    </row>
    <row r="70" spans="5:5" x14ac:dyDescent="0.25">
      <c r="E70" s="296"/>
    </row>
    <row r="71" spans="5:5" x14ac:dyDescent="0.25">
      <c r="E71" s="296"/>
    </row>
    <row r="72" spans="5:5" x14ac:dyDescent="0.25">
      <c r="E72" s="296"/>
    </row>
    <row r="73" spans="5:5" x14ac:dyDescent="0.25">
      <c r="E73" s="296"/>
    </row>
    <row r="74" spans="5:5" x14ac:dyDescent="0.25">
      <c r="E74" s="296"/>
    </row>
  </sheetData>
  <mergeCells count="6">
    <mergeCell ref="A1:N1"/>
    <mergeCell ref="A10:N10"/>
    <mergeCell ref="A45:N45"/>
    <mergeCell ref="A37:N37"/>
    <mergeCell ref="A19:N19"/>
    <mergeCell ref="A28:N28"/>
  </mergeCells>
  <phoneticPr fontId="0" type="noConversion"/>
  <pageMargins left="0.7" right="0.7" top="0.75" bottom="0.75" header="0.3" footer="0.3"/>
  <pageSetup paperSize="9" orientation="portrait" horizontalDpi="4294967293" vertic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23C5-2967-484A-B08A-99A75049E581}">
  <dimension ref="A1:N27"/>
  <sheetViews>
    <sheetView topLeftCell="A28" workbookViewId="0">
      <selection activeCell="N25" sqref="N25"/>
    </sheetView>
  </sheetViews>
  <sheetFormatPr defaultRowHeight="15" x14ac:dyDescent="0.25"/>
  <cols>
    <col min="2" max="4" width="11.140625" bestFit="1" customWidth="1"/>
    <col min="5" max="5" width="12" bestFit="1" customWidth="1"/>
    <col min="6" max="7" width="11.140625" bestFit="1" customWidth="1"/>
    <col min="8" max="8" width="11" bestFit="1" customWidth="1"/>
    <col min="9" max="13" width="11.140625" bestFit="1" customWidth="1"/>
    <col min="14" max="14" width="13.140625" bestFit="1" customWidth="1"/>
  </cols>
  <sheetData>
    <row r="1" spans="1:14" x14ac:dyDescent="0.25">
      <c r="A1" s="417" t="s">
        <v>74</v>
      </c>
      <c r="B1" s="417"/>
      <c r="C1" s="417"/>
      <c r="D1" s="417"/>
      <c r="E1" s="417"/>
      <c r="F1" s="417"/>
      <c r="G1" s="417"/>
      <c r="H1" s="417"/>
      <c r="I1" s="417"/>
      <c r="J1" s="417"/>
      <c r="K1" s="417"/>
      <c r="L1" s="417"/>
      <c r="M1" s="417"/>
    </row>
    <row r="2" spans="1:14" x14ac:dyDescent="0.25">
      <c r="B2" s="113" t="s">
        <v>37</v>
      </c>
      <c r="C2" s="113" t="s">
        <v>38</v>
      </c>
      <c r="D2" s="113" t="s">
        <v>39</v>
      </c>
      <c r="E2" s="113" t="s">
        <v>40</v>
      </c>
      <c r="F2" s="113" t="s">
        <v>41</v>
      </c>
      <c r="G2" s="113" t="s">
        <v>42</v>
      </c>
      <c r="H2" s="113" t="s">
        <v>43</v>
      </c>
      <c r="I2" s="113" t="s">
        <v>44</v>
      </c>
      <c r="J2" s="113" t="s">
        <v>36</v>
      </c>
      <c r="K2" s="113" t="s">
        <v>35</v>
      </c>
      <c r="L2" s="113" t="s">
        <v>33</v>
      </c>
      <c r="M2" s="113" t="s">
        <v>34</v>
      </c>
      <c r="N2" s="113" t="s">
        <v>49</v>
      </c>
    </row>
    <row r="3" spans="1:14" x14ac:dyDescent="0.25">
      <c r="A3" s="210">
        <v>2023</v>
      </c>
      <c r="B3" s="283">
        <f>'Evolució mensual_anys'!C15</f>
        <v>883</v>
      </c>
      <c r="C3" s="283">
        <f>'Evolució mensual_anys'!D15</f>
        <v>1105</v>
      </c>
      <c r="D3" s="283">
        <f>'Evolució mensual_anys'!E15</f>
        <v>965</v>
      </c>
      <c r="E3" s="283">
        <f>'Evolució mensual_anys'!F15</f>
        <v>2375</v>
      </c>
      <c r="F3" s="283">
        <f>'Evolució mensual_anys'!G15</f>
        <v>834</v>
      </c>
      <c r="G3" s="283">
        <f>'Evolució mensual_anys'!H15</f>
        <v>754</v>
      </c>
      <c r="H3" s="283">
        <f>'Evolució mensual_anys'!I15</f>
        <v>667</v>
      </c>
      <c r="I3" s="283">
        <f>'Evolució mensual_anys'!J15</f>
        <v>1438</v>
      </c>
      <c r="J3" s="283">
        <f>'Evolució mensual_anys'!K15</f>
        <v>1406</v>
      </c>
      <c r="K3" s="283">
        <f>'Evolució mensual_anys'!L15</f>
        <v>3351</v>
      </c>
      <c r="L3" s="283">
        <f>'Evolució mensual_anys'!M15</f>
        <v>0</v>
      </c>
      <c r="M3" s="283">
        <f>'Evolució mensual_anys'!N15</f>
        <v>0</v>
      </c>
      <c r="N3" s="185">
        <f>SUM(B3:M3)</f>
        <v>13778</v>
      </c>
    </row>
    <row r="4" spans="1:14" x14ac:dyDescent="0.25">
      <c r="A4" s="210">
        <v>2022</v>
      </c>
      <c r="B4" s="283">
        <f>'Evolució mensual_anys'!C45</f>
        <v>733</v>
      </c>
      <c r="C4" s="283">
        <f>'Evolució mensual_anys'!D45</f>
        <v>907</v>
      </c>
      <c r="D4" s="283">
        <f>'Evolució mensual_anys'!E45</f>
        <v>651</v>
      </c>
      <c r="E4" s="283">
        <f>'Evolució mensual_anys'!F45</f>
        <v>2236</v>
      </c>
      <c r="F4" s="283">
        <f>'Evolució mensual_anys'!G45</f>
        <v>978</v>
      </c>
      <c r="G4" s="283">
        <f>'Evolució mensual_anys'!H45</f>
        <v>726</v>
      </c>
      <c r="H4" s="283">
        <f>'Evolució mensual_anys'!I45</f>
        <v>848</v>
      </c>
      <c r="I4" s="283">
        <f>'Evolució mensual_anys'!J45</f>
        <v>1307</v>
      </c>
      <c r="J4" s="283">
        <f>'Evolució mensual_anys'!K45</f>
        <v>1256</v>
      </c>
      <c r="K4" s="283">
        <f>'Evolució mensual_anys'!L45</f>
        <v>1898</v>
      </c>
      <c r="L4" s="283">
        <f>'Evolució mensual_anys'!M45</f>
        <v>1862</v>
      </c>
      <c r="M4" s="283">
        <f>'Evolució mensual_anys'!N45</f>
        <v>831</v>
      </c>
      <c r="N4" s="185">
        <f>SUM(B4:M4)</f>
        <v>14233</v>
      </c>
    </row>
    <row r="5" spans="1:14" x14ac:dyDescent="0.25">
      <c r="A5" s="210">
        <v>2021</v>
      </c>
      <c r="B5" s="283">
        <f>'Evolució mensual_anys'!C73</f>
        <v>123</v>
      </c>
      <c r="C5" s="283">
        <f>'Evolució mensual_anys'!D73</f>
        <v>170</v>
      </c>
      <c r="D5" s="283">
        <f>'Evolució mensual_anys'!E73</f>
        <v>359</v>
      </c>
      <c r="E5" s="283">
        <f>'Evolució mensual_anys'!F73</f>
        <v>707</v>
      </c>
      <c r="F5" s="283">
        <f>'Evolució mensual_anys'!G73</f>
        <v>895</v>
      </c>
      <c r="G5" s="283">
        <f>'Evolució mensual_anys'!H73</f>
        <v>510</v>
      </c>
      <c r="H5" s="283">
        <f>'Evolució mensual_anys'!I73</f>
        <v>798</v>
      </c>
      <c r="I5" s="283">
        <f>'Evolució mensual_anys'!J73</f>
        <v>1896</v>
      </c>
      <c r="J5" s="283">
        <f>'Evolució mensual_anys'!K73</f>
        <v>1291</v>
      </c>
      <c r="K5" s="283">
        <f>'Evolució mensual_anys'!L73</f>
        <v>1323</v>
      </c>
      <c r="L5" s="283">
        <f>'Evolució mensual_anys'!M73</f>
        <v>840</v>
      </c>
      <c r="M5" s="283">
        <f>'Evolució mensual_anys'!N73</f>
        <v>593</v>
      </c>
      <c r="N5" s="185">
        <f t="shared" ref="N5:N8" si="0">SUM(B5:M5)</f>
        <v>9505</v>
      </c>
    </row>
    <row r="6" spans="1:14" x14ac:dyDescent="0.25">
      <c r="A6" s="210">
        <v>2020</v>
      </c>
      <c r="B6" s="283">
        <f>'Evolució mensual_anys'!C98</f>
        <v>1036</v>
      </c>
      <c r="C6" s="283">
        <f>'Evolució mensual_anys'!D98</f>
        <v>1375</v>
      </c>
      <c r="D6" s="283">
        <f>'Evolució mensual_anys'!E98</f>
        <v>403</v>
      </c>
      <c r="E6" s="283">
        <f>'Evolució mensual_anys'!F98</f>
        <v>0</v>
      </c>
      <c r="F6" s="283">
        <f>'Evolució mensual_anys'!G98</f>
        <v>0</v>
      </c>
      <c r="G6" s="283">
        <f>'Evolució mensual_anys'!H98</f>
        <v>126</v>
      </c>
      <c r="H6" s="283">
        <f>'Evolució mensual_anys'!I98</f>
        <v>742</v>
      </c>
      <c r="I6" s="283">
        <f>'Evolució mensual_anys'!J98</f>
        <v>1589</v>
      </c>
      <c r="J6" s="283">
        <f>'Evolució mensual_anys'!K98</f>
        <v>1379</v>
      </c>
      <c r="K6" s="283">
        <f>'Evolució mensual_anys'!L98</f>
        <v>1001</v>
      </c>
      <c r="L6" s="283">
        <f>'Evolució mensual_anys'!M98</f>
        <v>206</v>
      </c>
      <c r="M6" s="283">
        <f>'Evolució mensual_anys'!N98</f>
        <v>267</v>
      </c>
      <c r="N6" s="185">
        <f t="shared" si="0"/>
        <v>8124</v>
      </c>
    </row>
    <row r="7" spans="1:14" x14ac:dyDescent="0.25">
      <c r="A7" s="210">
        <v>2019</v>
      </c>
      <c r="B7" s="283">
        <f>'Evolució mensual_anys'!C121</f>
        <v>402</v>
      </c>
      <c r="C7" s="283">
        <f>'Evolució mensual_anys'!D121</f>
        <v>886</v>
      </c>
      <c r="D7" s="283">
        <f>'Evolució mensual_anys'!E121</f>
        <v>1086</v>
      </c>
      <c r="E7" s="283">
        <f>'Evolució mensual_anys'!F121</f>
        <v>2438</v>
      </c>
      <c r="F7" s="283">
        <f>'Evolució mensual_anys'!G121</f>
        <v>1083</v>
      </c>
      <c r="G7" s="283">
        <f>'Evolució mensual_anys'!H121</f>
        <v>1030</v>
      </c>
      <c r="H7" s="283">
        <f>'Evolució mensual_anys'!I121</f>
        <v>873</v>
      </c>
      <c r="I7" s="283">
        <f>'Evolució mensual_anys'!J121</f>
        <v>1326</v>
      </c>
      <c r="J7" s="283">
        <f>'Evolució mensual_anys'!K121</f>
        <v>1613</v>
      </c>
      <c r="K7" s="283">
        <f>'Evolució mensual_anys'!L121</f>
        <v>1991</v>
      </c>
      <c r="L7" s="283">
        <f>'Evolució mensual_anys'!M121</f>
        <v>1953</v>
      </c>
      <c r="M7" s="283">
        <f>'Evolució mensual_anys'!N121</f>
        <v>1256</v>
      </c>
      <c r="N7" s="185">
        <f t="shared" si="0"/>
        <v>15937</v>
      </c>
    </row>
    <row r="8" spans="1:14" x14ac:dyDescent="0.25">
      <c r="A8" s="210">
        <v>2018</v>
      </c>
      <c r="B8" s="283">
        <f>'Evolució mensual_anys'!C136</f>
        <v>327</v>
      </c>
      <c r="C8" s="283">
        <f>'Evolució mensual_anys'!D136</f>
        <v>146</v>
      </c>
      <c r="D8" s="283">
        <f>'Evolució mensual_anys'!E136</f>
        <v>259</v>
      </c>
      <c r="E8" s="283">
        <f>'Evolució mensual_anys'!F136</f>
        <v>325</v>
      </c>
      <c r="F8" s="283">
        <f>'Evolució mensual_anys'!G136</f>
        <v>603</v>
      </c>
      <c r="G8" s="283">
        <f>'Evolució mensual_anys'!H136</f>
        <v>182</v>
      </c>
      <c r="H8" s="283">
        <f>'Evolució mensual_anys'!I136</f>
        <v>298</v>
      </c>
      <c r="I8" s="283">
        <f>'Evolució mensual_anys'!J136</f>
        <v>361</v>
      </c>
      <c r="J8" s="283">
        <f>'Evolució mensual_anys'!K136</f>
        <v>466</v>
      </c>
      <c r="K8" s="283">
        <f>'Evolució mensual_anys'!L136</f>
        <v>553</v>
      </c>
      <c r="L8" s="283">
        <f>'Evolució mensual_anys'!M136</f>
        <v>323</v>
      </c>
      <c r="M8" s="283">
        <f>'Evolució mensual_anys'!N136</f>
        <v>264</v>
      </c>
      <c r="N8" s="185">
        <f t="shared" si="0"/>
        <v>4107</v>
      </c>
    </row>
    <row r="9" spans="1:14" x14ac:dyDescent="0.25">
      <c r="L9" s="416" t="s">
        <v>76</v>
      </c>
      <c r="M9" s="416"/>
      <c r="N9" s="185">
        <f>SUM(N4:N8)</f>
        <v>51906</v>
      </c>
    </row>
    <row r="10" spans="1:14" x14ac:dyDescent="0.25">
      <c r="A10" s="417" t="s">
        <v>31</v>
      </c>
      <c r="B10" s="417"/>
      <c r="C10" s="417"/>
      <c r="D10" s="417"/>
      <c r="E10" s="417"/>
      <c r="F10" s="417"/>
      <c r="G10" s="417"/>
      <c r="H10" s="417"/>
      <c r="I10" s="417"/>
      <c r="J10" s="417"/>
      <c r="K10" s="417"/>
      <c r="L10" s="417"/>
      <c r="M10" s="417"/>
    </row>
    <row r="11" spans="1:14" x14ac:dyDescent="0.25">
      <c r="B11" s="113" t="s">
        <v>37</v>
      </c>
      <c r="C11" s="113" t="s">
        <v>38</v>
      </c>
      <c r="D11" s="113" t="s">
        <v>39</v>
      </c>
      <c r="E11" s="113" t="s">
        <v>40</v>
      </c>
      <c r="F11" s="113" t="s">
        <v>41</v>
      </c>
      <c r="G11" s="113" t="s">
        <v>42</v>
      </c>
      <c r="H11" s="113" t="s">
        <v>43</v>
      </c>
      <c r="I11" s="113" t="s">
        <v>44</v>
      </c>
      <c r="J11" s="113" t="s">
        <v>36</v>
      </c>
      <c r="K11" s="113" t="s">
        <v>35</v>
      </c>
      <c r="L11" s="113" t="s">
        <v>33</v>
      </c>
      <c r="M11" s="113" t="s">
        <v>34</v>
      </c>
      <c r="N11" s="113" t="s">
        <v>49</v>
      </c>
    </row>
    <row r="12" spans="1:14" x14ac:dyDescent="0.25">
      <c r="A12" s="210">
        <v>2023</v>
      </c>
      <c r="B12" s="234">
        <f>'Evolució mensual_anys'!C27</f>
        <v>3722.0799999999995</v>
      </c>
      <c r="C12" s="234">
        <f>'Evolució mensual_anys'!D27</f>
        <v>5686.8099999999995</v>
      </c>
      <c r="D12" s="234">
        <f>'Evolució mensual_anys'!E27</f>
        <v>4850.08</v>
      </c>
      <c r="E12" s="234">
        <f>'Evolució mensual_anys'!F27</f>
        <v>11938.890000000001</v>
      </c>
      <c r="F12" s="234">
        <f>'Evolució mensual_anys'!G27</f>
        <v>4460.26</v>
      </c>
      <c r="G12" s="234">
        <f>'Evolució mensual_anys'!H27</f>
        <v>3737.19</v>
      </c>
      <c r="H12" s="234">
        <f>'Evolució mensual_anys'!I27</f>
        <v>3013.63</v>
      </c>
      <c r="I12" s="234">
        <f>'Evolució mensual_anys'!J27</f>
        <v>6993.7</v>
      </c>
      <c r="J12" s="234">
        <f>'Evolució mensual_anys'!K27</f>
        <v>5829.3400000000011</v>
      </c>
      <c r="K12" s="234">
        <f>'Evolució mensual_anys'!L27</f>
        <v>10798.369999999999</v>
      </c>
      <c r="L12" s="234">
        <f>'Evolució mensual_anys'!M27</f>
        <v>0</v>
      </c>
      <c r="M12" s="234">
        <f>'Evolució mensual_anys'!N27</f>
        <v>0</v>
      </c>
      <c r="N12" s="234">
        <f>SUM(B12:M12)</f>
        <v>61030.350000000006</v>
      </c>
    </row>
    <row r="13" spans="1:14" x14ac:dyDescent="0.25">
      <c r="A13" s="210">
        <v>2022</v>
      </c>
      <c r="B13" s="234">
        <f>'Evolució mensual_anys'!C57</f>
        <v>2515.91</v>
      </c>
      <c r="C13" s="234">
        <f>'Evolució mensual_anys'!D57</f>
        <v>2829.4599999999996</v>
      </c>
      <c r="D13" s="234">
        <f>'Evolució mensual_anys'!E57</f>
        <v>2786.0099999999998</v>
      </c>
      <c r="E13" s="234">
        <f>'Evolució mensual_anys'!F57</f>
        <v>8729.7099999999991</v>
      </c>
      <c r="F13" s="234">
        <f>'Evolució mensual_anys'!G57</f>
        <v>3847.8100000000004</v>
      </c>
      <c r="G13" s="234">
        <f>'Evolució mensual_anys'!H57</f>
        <v>2449.6600000000003</v>
      </c>
      <c r="H13" s="234">
        <f>'Evolució mensual_anys'!I57</f>
        <v>3245.58</v>
      </c>
      <c r="I13" s="234">
        <f>'Evolució mensual_anys'!J57</f>
        <v>5172.8600000000006</v>
      </c>
      <c r="J13" s="234">
        <f>'Evolució mensual_anys'!K57</f>
        <v>5439.1500000000005</v>
      </c>
      <c r="K13" s="234">
        <f>'Evolució mensual_anys'!L57</f>
        <v>6455.1799999999994</v>
      </c>
      <c r="L13" s="234">
        <f>'Evolució mensual_anys'!M57</f>
        <v>6784.28</v>
      </c>
      <c r="M13" s="234">
        <f>'Evolució mensual_anys'!N57</f>
        <v>3196.74</v>
      </c>
      <c r="N13" s="234">
        <f>SUM(B13:M13)</f>
        <v>53452.35</v>
      </c>
    </row>
    <row r="14" spans="1:14" x14ac:dyDescent="0.25">
      <c r="A14" s="210">
        <v>2021</v>
      </c>
      <c r="B14" s="234">
        <f>'Evolució mensual_anys'!C84</f>
        <v>320</v>
      </c>
      <c r="C14" s="234">
        <f>'Evolució mensual_anys'!D84</f>
        <v>609.25</v>
      </c>
      <c r="D14" s="234">
        <f>'Evolució mensual_anys'!E84</f>
        <v>1452.5</v>
      </c>
      <c r="E14" s="234">
        <f>'Evolució mensual_anys'!F84</f>
        <v>2169.1299999999997</v>
      </c>
      <c r="F14" s="234">
        <f>'Evolució mensual_anys'!G84</f>
        <v>3125.5099999999998</v>
      </c>
      <c r="G14" s="234">
        <f>'Evolució mensual_anys'!H84</f>
        <v>1689.8900000000003</v>
      </c>
      <c r="H14" s="234">
        <f>'Evolució mensual_anys'!I84</f>
        <v>2934.48</v>
      </c>
      <c r="I14" s="234">
        <f>'Evolució mensual_anys'!J84</f>
        <v>6853.63</v>
      </c>
      <c r="J14" s="234">
        <f>'Evolució mensual_anys'!K84</f>
        <v>4521.6100000000006</v>
      </c>
      <c r="K14" s="234">
        <f>'Evolució mensual_anys'!L84</f>
        <v>4619.17</v>
      </c>
      <c r="L14" s="234">
        <f>'Evolució mensual_anys'!M84</f>
        <v>3542.06</v>
      </c>
      <c r="M14" s="234">
        <f>'Evolució mensual_anys'!N84</f>
        <v>1950.36</v>
      </c>
      <c r="N14" s="234">
        <f t="shared" ref="N14:N17" si="1">SUM(B14:M14)</f>
        <v>33787.589999999997</v>
      </c>
    </row>
    <row r="15" spans="1:14" x14ac:dyDescent="0.25">
      <c r="A15" s="210">
        <v>2020</v>
      </c>
      <c r="B15" s="234">
        <f>'Evolució mensual_anys'!C107</f>
        <v>2400.5</v>
      </c>
      <c r="C15" s="234">
        <f>'Evolució mensual_anys'!D107</f>
        <v>3687</v>
      </c>
      <c r="D15" s="234">
        <f>'Evolució mensual_anys'!E107</f>
        <v>1353.7</v>
      </c>
      <c r="E15" s="234">
        <f>'Evolució mensual_anys'!F107</f>
        <v>0</v>
      </c>
      <c r="F15" s="234">
        <f>'Evolució mensual_anys'!G107</f>
        <v>0</v>
      </c>
      <c r="G15" s="234">
        <f>'Evolució mensual_anys'!H107</f>
        <v>447.5</v>
      </c>
      <c r="H15" s="234">
        <f>'Evolució mensual_anys'!I107</f>
        <v>1988.5</v>
      </c>
      <c r="I15" s="234">
        <f>'Evolució mensual_anys'!J107</f>
        <v>4515.4399999999996</v>
      </c>
      <c r="J15" s="234">
        <f>'Evolució mensual_anys'!K107</f>
        <v>3559.9100000000003</v>
      </c>
      <c r="K15" s="234">
        <f>'Evolució mensual_anys'!L107</f>
        <v>1293.5</v>
      </c>
      <c r="L15" s="234">
        <f>'Evolució mensual_anys'!M107</f>
        <v>466</v>
      </c>
      <c r="M15" s="234">
        <f>'Evolució mensual_anys'!N107</f>
        <v>457</v>
      </c>
      <c r="N15" s="234">
        <f t="shared" si="1"/>
        <v>20169.05</v>
      </c>
    </row>
    <row r="16" spans="1:14" x14ac:dyDescent="0.25">
      <c r="A16" s="210">
        <v>2019</v>
      </c>
      <c r="B16" s="234">
        <f>'Evolució mensual_anys'!C130</f>
        <v>1112.95</v>
      </c>
      <c r="C16" s="234">
        <f>'Evolució mensual_anys'!D130</f>
        <v>2227.25</v>
      </c>
      <c r="D16" s="234">
        <f>'Evolució mensual_anys'!E130</f>
        <v>4013.4</v>
      </c>
      <c r="E16" s="234">
        <f>'Evolució mensual_anys'!F130</f>
        <v>4055.9</v>
      </c>
      <c r="F16" s="234">
        <f>'Evolució mensual_anys'!G130</f>
        <v>3561.85</v>
      </c>
      <c r="G16" s="234">
        <f>'Evolució mensual_anys'!H130</f>
        <v>3389.5499999999997</v>
      </c>
      <c r="H16" s="234">
        <f>'Evolució mensual_anys'!I130</f>
        <v>2428.6999999999998</v>
      </c>
      <c r="I16" s="234">
        <f>'Evolució mensual_anys'!J130</f>
        <v>3909.9</v>
      </c>
      <c r="J16" s="234">
        <f>'Evolució mensual_anys'!K130</f>
        <v>4589.75</v>
      </c>
      <c r="K16" s="234">
        <f>'Evolució mensual_anys'!L130</f>
        <v>4136.3</v>
      </c>
      <c r="L16" s="234">
        <f>'Evolució mensual_anys'!M130</f>
        <v>4638.05</v>
      </c>
      <c r="M16" s="234">
        <f>'Evolució mensual_anys'!N130</f>
        <v>3356.9</v>
      </c>
      <c r="N16" s="234">
        <f t="shared" si="1"/>
        <v>41420.500000000007</v>
      </c>
    </row>
    <row r="17" spans="1:14" x14ac:dyDescent="0.25">
      <c r="A17" s="210">
        <v>2018</v>
      </c>
      <c r="B17" s="234">
        <f>'Evolució mensual_anys'!C153</f>
        <v>945.8</v>
      </c>
      <c r="C17" s="234">
        <f>'Evolució mensual_anys'!D153</f>
        <v>951.45</v>
      </c>
      <c r="D17" s="234">
        <f>'Evolució mensual_anys'!E153</f>
        <v>3386.2</v>
      </c>
      <c r="E17" s="234">
        <f>'Evolució mensual_anys'!F153</f>
        <v>2995.15</v>
      </c>
      <c r="F17" s="234">
        <f>'Evolució mensual_anys'!G153</f>
        <v>2171.35</v>
      </c>
      <c r="G17" s="234">
        <f>'Evolució mensual_anys'!H153</f>
        <v>1826.1</v>
      </c>
      <c r="H17" s="234">
        <f>'Evolució mensual_anys'!I153</f>
        <v>1642.15</v>
      </c>
      <c r="I17" s="234">
        <f>'Evolució mensual_anys'!J153</f>
        <v>2582.6</v>
      </c>
      <c r="J17" s="234">
        <f>'Evolució mensual_anys'!K153</f>
        <v>2369</v>
      </c>
      <c r="K17" s="234">
        <f>'Evolució mensual_anys'!L153</f>
        <v>7121.45</v>
      </c>
      <c r="L17" s="234">
        <f>'Evolució mensual_anys'!M153</f>
        <v>3665.25</v>
      </c>
      <c r="M17" s="234">
        <f>'Evolució mensual_anys'!N153</f>
        <v>1283.6500000000001</v>
      </c>
      <c r="N17" s="234">
        <f t="shared" si="1"/>
        <v>30940.15</v>
      </c>
    </row>
    <row r="18" spans="1:14" x14ac:dyDescent="0.25">
      <c r="L18" s="416" t="s">
        <v>76</v>
      </c>
      <c r="M18" s="416"/>
      <c r="N18" s="234">
        <f>SUM(N13:N17)</f>
        <v>179769.64</v>
      </c>
    </row>
    <row r="19" spans="1:14" x14ac:dyDescent="0.25">
      <c r="A19" s="417" t="s">
        <v>48</v>
      </c>
      <c r="B19" s="417"/>
      <c r="C19" s="417"/>
      <c r="D19" s="417"/>
      <c r="E19" s="417"/>
      <c r="F19" s="417"/>
      <c r="G19" s="417"/>
      <c r="H19" s="417"/>
      <c r="I19" s="417"/>
      <c r="J19" s="417"/>
      <c r="K19" s="417"/>
      <c r="L19" s="417"/>
      <c r="M19" s="417"/>
    </row>
    <row r="20" spans="1:14" x14ac:dyDescent="0.25">
      <c r="B20" s="113" t="s">
        <v>37</v>
      </c>
      <c r="C20" s="113" t="s">
        <v>38</v>
      </c>
      <c r="D20" s="113" t="s">
        <v>39</v>
      </c>
      <c r="E20" s="113" t="s">
        <v>40</v>
      </c>
      <c r="F20" s="113" t="s">
        <v>41</v>
      </c>
      <c r="G20" s="113" t="s">
        <v>42</v>
      </c>
      <c r="H20" s="113" t="s">
        <v>43</v>
      </c>
      <c r="I20" s="113" t="s">
        <v>44</v>
      </c>
      <c r="J20" s="113" t="s">
        <v>36</v>
      </c>
      <c r="K20" s="113" t="s">
        <v>35</v>
      </c>
      <c r="L20" s="113" t="s">
        <v>33</v>
      </c>
      <c r="M20" s="113" t="s">
        <v>34</v>
      </c>
      <c r="N20" s="113" t="s">
        <v>49</v>
      </c>
    </row>
    <row r="21" spans="1:14" x14ac:dyDescent="0.25">
      <c r="A21" s="210">
        <v>2023</v>
      </c>
      <c r="B21" s="283">
        <f>'Evolució mensual_anys'!C5</f>
        <v>263</v>
      </c>
      <c r="C21" s="283">
        <f>'Evolució mensual_anys'!D5</f>
        <v>398</v>
      </c>
      <c r="D21" s="283">
        <f>'Evolució mensual_anys'!E5</f>
        <v>447</v>
      </c>
      <c r="E21" s="283">
        <f>'Evolució mensual_anys'!F5</f>
        <v>647</v>
      </c>
      <c r="F21" s="283">
        <f>'Evolució mensual_anys'!G5</f>
        <v>435</v>
      </c>
      <c r="G21" s="283">
        <f>'Evolució mensual_anys'!H5</f>
        <v>317</v>
      </c>
      <c r="H21" s="283">
        <f>'Evolució mensual_anys'!I5</f>
        <v>292</v>
      </c>
      <c r="I21" s="283">
        <f>'Evolució mensual_anys'!J5</f>
        <v>556</v>
      </c>
      <c r="J21" s="283">
        <f>'Evolució mensual_anys'!K5</f>
        <v>370</v>
      </c>
      <c r="K21" s="283">
        <f>'Evolució mensual_anys'!L5</f>
        <v>771</v>
      </c>
      <c r="L21" s="283">
        <f>'Evolució mensual_anys'!M5</f>
        <v>0</v>
      </c>
      <c r="M21" s="283">
        <f>'Evolució mensual_anys'!N5</f>
        <v>0</v>
      </c>
      <c r="N21" s="185">
        <f>SUM(B21:M21)</f>
        <v>4496</v>
      </c>
    </row>
    <row r="22" spans="1:14" x14ac:dyDescent="0.25">
      <c r="A22" s="210">
        <v>2022</v>
      </c>
      <c r="B22" s="283">
        <f>'Evolució mensual_anys'!C35</f>
        <v>308</v>
      </c>
      <c r="C22" s="283">
        <f>'Evolució mensual_anys'!D35</f>
        <v>363</v>
      </c>
      <c r="D22" s="283">
        <f>'Evolució mensual_anys'!E35</f>
        <v>325</v>
      </c>
      <c r="E22" s="283">
        <f>'Evolució mensual_anys'!F35</f>
        <v>682</v>
      </c>
      <c r="F22" s="283">
        <f>'Evolució mensual_anys'!G35</f>
        <v>367</v>
      </c>
      <c r="G22" s="283">
        <f>'Evolució mensual_anys'!H35</f>
        <v>315</v>
      </c>
      <c r="H22" s="283">
        <f>'Evolució mensual_anys'!I35</f>
        <v>313</v>
      </c>
      <c r="I22" s="283">
        <f>'Evolució mensual_anys'!J35</f>
        <v>599</v>
      </c>
      <c r="J22" s="283">
        <f>'Evolució mensual_anys'!K35</f>
        <v>480</v>
      </c>
      <c r="K22" s="283">
        <f>'Evolució mensual_anys'!L35</f>
        <v>558</v>
      </c>
      <c r="L22" s="283">
        <f>'Evolució mensual_anys'!M35</f>
        <v>34</v>
      </c>
      <c r="M22" s="283">
        <f>'Evolució mensual_anys'!N35</f>
        <v>182</v>
      </c>
      <c r="N22" s="185">
        <f>SUM(B22:M22)</f>
        <v>4526</v>
      </c>
    </row>
    <row r="23" spans="1:14" x14ac:dyDescent="0.25">
      <c r="A23" s="210">
        <v>2021</v>
      </c>
      <c r="B23" s="283">
        <f>'Evolució mensual_anys'!C63</f>
        <v>41</v>
      </c>
      <c r="C23" s="283">
        <f>'Evolució mensual_anys'!D63</f>
        <v>89</v>
      </c>
      <c r="D23" s="283">
        <f>'Evolució mensual_anys'!E63</f>
        <v>278</v>
      </c>
      <c r="E23" s="283">
        <f>'Evolució mensual_anys'!F63</f>
        <v>313</v>
      </c>
      <c r="F23" s="283">
        <f>'Evolució mensual_anys'!G63</f>
        <v>561</v>
      </c>
      <c r="G23" s="283">
        <f>'Evolució mensual_anys'!H63</f>
        <v>413</v>
      </c>
      <c r="H23" s="283">
        <f>'Evolució mensual_anys'!I63</f>
        <v>413</v>
      </c>
      <c r="I23" s="283">
        <f>'Evolució mensual_anys'!J63</f>
        <v>836</v>
      </c>
      <c r="J23" s="283">
        <f>'Evolució mensual_anys'!K63</f>
        <v>703</v>
      </c>
      <c r="K23" s="283">
        <f>'Evolució mensual_anys'!L63</f>
        <v>432</v>
      </c>
      <c r="L23" s="283">
        <f>'Evolució mensual_anys'!M63</f>
        <v>239</v>
      </c>
      <c r="M23" s="283">
        <f>'Evolució mensual_anys'!N63</f>
        <v>236</v>
      </c>
      <c r="N23" s="185">
        <f t="shared" ref="N23:N26" si="2">SUM(B23:M23)</f>
        <v>4554</v>
      </c>
    </row>
    <row r="24" spans="1:14" x14ac:dyDescent="0.25">
      <c r="A24" s="210">
        <v>2020</v>
      </c>
      <c r="B24" s="283">
        <f>'Evolució mensual_anys'!C90</f>
        <v>255</v>
      </c>
      <c r="C24" s="283">
        <f>'Evolució mensual_anys'!D90</f>
        <v>790</v>
      </c>
      <c r="D24" s="283">
        <f>'Evolució mensual_anys'!E90</f>
        <v>219</v>
      </c>
      <c r="E24" s="283">
        <f>'Evolució mensual_anys'!F90</f>
        <v>0</v>
      </c>
      <c r="F24" s="283">
        <f>'Evolució mensual_anys'!G90</f>
        <v>18</v>
      </c>
      <c r="G24" s="283">
        <f>'Evolució mensual_anys'!H90</f>
        <v>108</v>
      </c>
      <c r="H24" s="283">
        <f>'Evolució mensual_anys'!I90</f>
        <v>396</v>
      </c>
      <c r="I24" s="283">
        <f>'Evolució mensual_anys'!J90</f>
        <v>548</v>
      </c>
      <c r="J24" s="283">
        <f>'Evolució mensual_anys'!K90</f>
        <v>354</v>
      </c>
      <c r="K24" s="283">
        <f>'Evolució mensual_anys'!L90</f>
        <v>400</v>
      </c>
      <c r="L24" s="283">
        <f>'Evolució mensual_anys'!M90</f>
        <v>104</v>
      </c>
      <c r="M24" s="283">
        <f>'Evolució mensual_anys'!N90</f>
        <v>237</v>
      </c>
      <c r="N24" s="185">
        <f t="shared" si="2"/>
        <v>3429</v>
      </c>
    </row>
    <row r="25" spans="1:14" x14ac:dyDescent="0.25">
      <c r="A25" s="210">
        <v>2019</v>
      </c>
      <c r="B25" s="283">
        <f>'Evolució mensual_anys'!C113</f>
        <v>403</v>
      </c>
      <c r="C25" s="283">
        <f>'Evolució mensual_anys'!D113</f>
        <v>400</v>
      </c>
      <c r="D25" s="283">
        <f>'Evolució mensual_anys'!E113</f>
        <v>519</v>
      </c>
      <c r="E25" s="283">
        <f>'Evolució mensual_anys'!F113</f>
        <v>583</v>
      </c>
      <c r="F25" s="283">
        <f>'Evolució mensual_anys'!G113</f>
        <v>637</v>
      </c>
      <c r="G25" s="283">
        <f>'Evolució mensual_anys'!H113</f>
        <v>642</v>
      </c>
      <c r="H25" s="283">
        <f>'Evolució mensual_anys'!I113</f>
        <v>410</v>
      </c>
      <c r="I25" s="283">
        <f>'Evolució mensual_anys'!J113</f>
        <v>793</v>
      </c>
      <c r="J25" s="283">
        <f>'Evolució mensual_anys'!K113</f>
        <v>779</v>
      </c>
      <c r="K25" s="283">
        <f>'Evolució mensual_anys'!L113</f>
        <v>492</v>
      </c>
      <c r="L25" s="283">
        <f>'Evolució mensual_anys'!M113</f>
        <v>491</v>
      </c>
      <c r="M25" s="283">
        <f>'Evolució mensual_anys'!N113</f>
        <v>32</v>
      </c>
      <c r="N25" s="185">
        <f t="shared" si="2"/>
        <v>6181</v>
      </c>
    </row>
    <row r="26" spans="1:14" x14ac:dyDescent="0.25">
      <c r="A26" s="210">
        <v>2018</v>
      </c>
      <c r="B26" s="283">
        <f>'Evolució mensual_anys'!C136</f>
        <v>327</v>
      </c>
      <c r="C26" s="283">
        <f>'Evolució mensual_anys'!D136</f>
        <v>146</v>
      </c>
      <c r="D26" s="283">
        <f>'Evolució mensual_anys'!E136</f>
        <v>259</v>
      </c>
      <c r="E26" s="283">
        <f>'Evolució mensual_anys'!F136</f>
        <v>325</v>
      </c>
      <c r="F26" s="283">
        <f>'Evolució mensual_anys'!G136</f>
        <v>603</v>
      </c>
      <c r="G26" s="283">
        <f>'Evolució mensual_anys'!H136</f>
        <v>182</v>
      </c>
      <c r="H26" s="283">
        <f>'Evolució mensual_anys'!I136</f>
        <v>298</v>
      </c>
      <c r="I26" s="283">
        <f>'Evolució mensual_anys'!J136</f>
        <v>361</v>
      </c>
      <c r="J26" s="283">
        <f>'Evolució mensual_anys'!K136</f>
        <v>466</v>
      </c>
      <c r="K26" s="283">
        <f>'Evolució mensual_anys'!L136</f>
        <v>553</v>
      </c>
      <c r="L26" s="283">
        <f>'Evolució mensual_anys'!M136</f>
        <v>323</v>
      </c>
      <c r="M26" s="283">
        <f>'Evolució mensual_anys'!N136</f>
        <v>264</v>
      </c>
      <c r="N26" s="185">
        <f t="shared" si="2"/>
        <v>4107</v>
      </c>
    </row>
    <row r="27" spans="1:14" x14ac:dyDescent="0.25">
      <c r="L27" s="416" t="s">
        <v>76</v>
      </c>
      <c r="M27" s="416"/>
      <c r="N27" s="185">
        <f>SUM(N22:N26)</f>
        <v>22797</v>
      </c>
    </row>
  </sheetData>
  <mergeCells count="6">
    <mergeCell ref="L27:M27"/>
    <mergeCell ref="A1:M1"/>
    <mergeCell ref="A10:M10"/>
    <mergeCell ref="A19:M19"/>
    <mergeCell ref="L9:M9"/>
    <mergeCell ref="L18:M18"/>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37130-24DE-4842-BD8B-B0E7D348349A}">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09AC-F52D-4AB6-B0C0-00D04F9BD183}">
  <dimension ref="A1:L241"/>
  <sheetViews>
    <sheetView workbookViewId="0">
      <selection activeCell="C15" sqref="C15"/>
    </sheetView>
  </sheetViews>
  <sheetFormatPr defaultColWidth="12.5703125" defaultRowHeight="15" x14ac:dyDescent="0.25"/>
  <cols>
    <col min="1" max="1" width="13.7109375" bestFit="1" customWidth="1"/>
    <col min="2" max="2" width="24.85546875" bestFit="1" customWidth="1"/>
    <col min="3" max="3" width="28.42578125" bestFit="1" customWidth="1"/>
    <col min="4" max="4" width="127.85546875" bestFit="1" customWidth="1"/>
    <col min="5" max="5" width="91" bestFit="1" customWidth="1"/>
    <col min="6" max="6" width="148.7109375" bestFit="1" customWidth="1"/>
    <col min="7" max="7" width="170.7109375" bestFit="1" customWidth="1"/>
    <col min="8" max="8" width="99.28515625" bestFit="1" customWidth="1"/>
    <col min="9" max="9" width="102.5703125" bestFit="1" customWidth="1"/>
    <col min="10" max="10" width="255.7109375" bestFit="1" customWidth="1"/>
    <col min="11" max="11" width="114" bestFit="1" customWidth="1"/>
    <col min="12" max="12" width="255.7109375" bestFit="1" customWidth="1"/>
    <col min="13" max="18" width="18.85546875" customWidth="1"/>
  </cols>
  <sheetData>
    <row r="1" spans="1:12" x14ac:dyDescent="0.25">
      <c r="A1" s="376" t="s">
        <v>91</v>
      </c>
      <c r="B1" s="376" t="s">
        <v>92</v>
      </c>
      <c r="C1" s="376" t="s">
        <v>93</v>
      </c>
      <c r="D1" s="376" t="s">
        <v>94</v>
      </c>
      <c r="E1" s="376" t="s">
        <v>95</v>
      </c>
      <c r="F1" s="376" t="s">
        <v>96</v>
      </c>
      <c r="G1" s="376" t="s">
        <v>97</v>
      </c>
      <c r="H1" s="376" t="s">
        <v>98</v>
      </c>
      <c r="I1" s="376" t="s">
        <v>99</v>
      </c>
      <c r="J1" s="376" t="s">
        <v>100</v>
      </c>
      <c r="K1" s="376" t="s">
        <v>101</v>
      </c>
      <c r="L1" s="376" t="s">
        <v>102</v>
      </c>
    </row>
    <row r="2" spans="1:12" x14ac:dyDescent="0.25">
      <c r="A2" s="377">
        <v>44933</v>
      </c>
      <c r="B2" s="376" t="s">
        <v>103</v>
      </c>
      <c r="C2" s="376" t="s">
        <v>104</v>
      </c>
      <c r="D2" s="376" t="s">
        <v>105</v>
      </c>
      <c r="E2" s="376" t="s">
        <v>106</v>
      </c>
      <c r="F2" s="376" t="s">
        <v>107</v>
      </c>
      <c r="G2" s="376" t="s">
        <v>108</v>
      </c>
      <c r="H2" s="376">
        <v>5</v>
      </c>
      <c r="I2" s="376" t="s">
        <v>109</v>
      </c>
      <c r="J2" s="376" t="s">
        <v>110</v>
      </c>
      <c r="K2" s="376">
        <v>10</v>
      </c>
      <c r="L2" s="376" t="s">
        <v>111</v>
      </c>
    </row>
    <row r="3" spans="1:12" x14ac:dyDescent="0.25">
      <c r="A3" s="377">
        <v>44933.440686539354</v>
      </c>
      <c r="B3" s="376" t="s">
        <v>112</v>
      </c>
      <c r="C3" s="376" t="s">
        <v>113</v>
      </c>
      <c r="D3" s="376" t="s">
        <v>114</v>
      </c>
      <c r="E3" s="376" t="s">
        <v>106</v>
      </c>
      <c r="F3" s="376" t="s">
        <v>115</v>
      </c>
      <c r="G3" s="376" t="s">
        <v>116</v>
      </c>
      <c r="H3" s="376">
        <v>4</v>
      </c>
      <c r="I3" s="376" t="s">
        <v>117</v>
      </c>
      <c r="J3" s="376" t="s">
        <v>118</v>
      </c>
      <c r="K3" s="376">
        <v>9</v>
      </c>
      <c r="L3" s="376" t="s">
        <v>119</v>
      </c>
    </row>
    <row r="4" spans="1:12" x14ac:dyDescent="0.25">
      <c r="A4" s="377">
        <v>44933.704354953705</v>
      </c>
      <c r="B4" s="376" t="s">
        <v>103</v>
      </c>
      <c r="C4" s="376" t="s">
        <v>113</v>
      </c>
      <c r="D4" s="376" t="s">
        <v>120</v>
      </c>
      <c r="E4" s="376" t="s">
        <v>121</v>
      </c>
      <c r="F4" s="376" t="s">
        <v>122</v>
      </c>
      <c r="G4" s="376" t="s">
        <v>123</v>
      </c>
      <c r="H4" s="376">
        <v>4</v>
      </c>
      <c r="I4" s="376" t="s">
        <v>117</v>
      </c>
      <c r="J4" s="376" t="s">
        <v>124</v>
      </c>
      <c r="K4" s="376">
        <v>10</v>
      </c>
      <c r="L4" s="376" t="s">
        <v>125</v>
      </c>
    </row>
    <row r="5" spans="1:12" x14ac:dyDescent="0.25">
      <c r="A5" s="377">
        <v>44933.724160648148</v>
      </c>
      <c r="B5" s="376" t="s">
        <v>103</v>
      </c>
      <c r="C5" s="376" t="s">
        <v>113</v>
      </c>
      <c r="D5" s="376" t="s">
        <v>120</v>
      </c>
      <c r="E5" s="376" t="s">
        <v>126</v>
      </c>
      <c r="F5" s="376" t="s">
        <v>122</v>
      </c>
      <c r="G5" s="376" t="s">
        <v>123</v>
      </c>
      <c r="H5" s="376">
        <v>5</v>
      </c>
      <c r="I5" s="376" t="s">
        <v>117</v>
      </c>
      <c r="J5" s="376" t="s">
        <v>127</v>
      </c>
      <c r="K5" s="376">
        <v>9</v>
      </c>
      <c r="L5" s="376" t="s">
        <v>128</v>
      </c>
    </row>
    <row r="6" spans="1:12" x14ac:dyDescent="0.25">
      <c r="A6" s="377">
        <v>44933.734650092592</v>
      </c>
      <c r="B6" s="376" t="s">
        <v>112</v>
      </c>
      <c r="C6" s="376" t="s">
        <v>104</v>
      </c>
      <c r="D6" s="376" t="s">
        <v>114</v>
      </c>
      <c r="E6" s="376" t="s">
        <v>129</v>
      </c>
      <c r="F6" s="376" t="s">
        <v>122</v>
      </c>
      <c r="G6" s="376" t="s">
        <v>130</v>
      </c>
      <c r="H6" s="376">
        <v>5</v>
      </c>
      <c r="I6" s="376" t="s">
        <v>131</v>
      </c>
      <c r="J6" s="376" t="s">
        <v>124</v>
      </c>
      <c r="K6" s="376">
        <v>9</v>
      </c>
      <c r="L6" s="376" t="s">
        <v>132</v>
      </c>
    </row>
    <row r="7" spans="1:12" x14ac:dyDescent="0.25">
      <c r="A7" s="377">
        <v>44933.778070960645</v>
      </c>
      <c r="B7" s="376" t="s">
        <v>112</v>
      </c>
      <c r="C7" s="376" t="s">
        <v>113</v>
      </c>
      <c r="D7" s="376" t="s">
        <v>114</v>
      </c>
      <c r="E7" s="376" t="s">
        <v>133</v>
      </c>
      <c r="F7" s="376" t="s">
        <v>115</v>
      </c>
      <c r="G7" s="376" t="s">
        <v>116</v>
      </c>
      <c r="H7" s="376">
        <v>5</v>
      </c>
      <c r="I7" s="376" t="s">
        <v>134</v>
      </c>
      <c r="J7" s="376" t="s">
        <v>135</v>
      </c>
      <c r="K7" s="376">
        <v>10</v>
      </c>
      <c r="L7" s="376" t="s">
        <v>136</v>
      </c>
    </row>
    <row r="8" spans="1:12" x14ac:dyDescent="0.25">
      <c r="A8" s="377">
        <v>44933.832743726853</v>
      </c>
      <c r="B8" s="376" t="s">
        <v>103</v>
      </c>
      <c r="C8" s="376" t="s">
        <v>113</v>
      </c>
      <c r="D8" s="376" t="s">
        <v>114</v>
      </c>
      <c r="E8" s="376" t="s">
        <v>137</v>
      </c>
      <c r="F8" s="376" t="s">
        <v>138</v>
      </c>
      <c r="G8" s="376" t="s">
        <v>116</v>
      </c>
      <c r="H8" s="376">
        <v>5</v>
      </c>
      <c r="I8" s="376" t="s">
        <v>109</v>
      </c>
      <c r="J8" s="376" t="s">
        <v>139</v>
      </c>
      <c r="K8" s="376">
        <v>8</v>
      </c>
      <c r="L8" s="376" t="s">
        <v>140</v>
      </c>
    </row>
    <row r="9" spans="1:12" x14ac:dyDescent="0.25">
      <c r="A9" s="377">
        <v>44934.33283965278</v>
      </c>
      <c r="B9" s="376" t="s">
        <v>103</v>
      </c>
      <c r="C9" s="376" t="s">
        <v>104</v>
      </c>
      <c r="D9" s="376" t="s">
        <v>141</v>
      </c>
      <c r="E9" s="376" t="s">
        <v>133</v>
      </c>
      <c r="F9" s="376" t="s">
        <v>142</v>
      </c>
      <c r="G9" s="376" t="s">
        <v>143</v>
      </c>
      <c r="H9" s="376">
        <v>4</v>
      </c>
      <c r="I9" s="376" t="s">
        <v>109</v>
      </c>
      <c r="J9" s="376" t="s">
        <v>110</v>
      </c>
      <c r="K9" s="376">
        <v>9</v>
      </c>
      <c r="L9" s="376" t="s">
        <v>144</v>
      </c>
    </row>
    <row r="10" spans="1:12" x14ac:dyDescent="0.25">
      <c r="A10" s="377">
        <v>44934.584966747687</v>
      </c>
      <c r="B10" s="376" t="s">
        <v>103</v>
      </c>
      <c r="C10" s="376" t="s">
        <v>113</v>
      </c>
      <c r="D10" s="376" t="s">
        <v>114</v>
      </c>
      <c r="E10" s="376" t="s">
        <v>126</v>
      </c>
      <c r="F10" s="376" t="s">
        <v>142</v>
      </c>
      <c r="G10" s="376" t="s">
        <v>143</v>
      </c>
      <c r="H10" s="376">
        <v>5</v>
      </c>
      <c r="I10" s="376" t="s">
        <v>109</v>
      </c>
      <c r="J10" s="376" t="s">
        <v>127</v>
      </c>
      <c r="K10" s="376">
        <v>7</v>
      </c>
      <c r="L10" s="376" t="s">
        <v>145</v>
      </c>
    </row>
    <row r="11" spans="1:12" x14ac:dyDescent="0.25">
      <c r="A11" s="377">
        <v>44934.62175204861</v>
      </c>
      <c r="B11" s="376" t="s">
        <v>112</v>
      </c>
      <c r="C11" s="376" t="s">
        <v>104</v>
      </c>
      <c r="D11" s="376" t="s">
        <v>114</v>
      </c>
      <c r="E11" s="376" t="s">
        <v>146</v>
      </c>
      <c r="F11" s="376" t="s">
        <v>138</v>
      </c>
      <c r="G11" s="376" t="s">
        <v>108</v>
      </c>
      <c r="H11" s="376">
        <v>5</v>
      </c>
      <c r="I11" s="376" t="s">
        <v>134</v>
      </c>
      <c r="J11" s="376" t="s">
        <v>135</v>
      </c>
      <c r="K11" s="376">
        <v>9</v>
      </c>
      <c r="L11" s="376" t="s">
        <v>147</v>
      </c>
    </row>
    <row r="12" spans="1:12" x14ac:dyDescent="0.25">
      <c r="A12" s="377">
        <v>44934.698192245371</v>
      </c>
      <c r="B12" s="376" t="s">
        <v>103</v>
      </c>
      <c r="C12" s="376" t="s">
        <v>104</v>
      </c>
      <c r="D12" s="376" t="s">
        <v>120</v>
      </c>
      <c r="E12" s="376" t="s">
        <v>148</v>
      </c>
      <c r="F12" s="376" t="s">
        <v>149</v>
      </c>
      <c r="G12" s="376" t="s">
        <v>116</v>
      </c>
      <c r="H12" s="376">
        <v>3</v>
      </c>
      <c r="I12" s="376" t="s">
        <v>134</v>
      </c>
      <c r="J12" s="376" t="s">
        <v>127</v>
      </c>
      <c r="K12" s="376">
        <v>5</v>
      </c>
      <c r="L12" s="376" t="s">
        <v>150</v>
      </c>
    </row>
    <row r="13" spans="1:12" x14ac:dyDescent="0.25">
      <c r="A13" s="377">
        <v>44934.926970682871</v>
      </c>
      <c r="B13" s="376" t="s">
        <v>103</v>
      </c>
      <c r="C13" s="376" t="s">
        <v>151</v>
      </c>
      <c r="D13" s="376" t="s">
        <v>141</v>
      </c>
      <c r="E13" s="376" t="s">
        <v>152</v>
      </c>
      <c r="F13" s="376" t="s">
        <v>153</v>
      </c>
      <c r="G13" s="376" t="s">
        <v>108</v>
      </c>
      <c r="H13" s="376">
        <v>5</v>
      </c>
      <c r="I13" s="376" t="s">
        <v>154</v>
      </c>
      <c r="J13" s="376" t="s">
        <v>155</v>
      </c>
      <c r="K13" s="376">
        <v>9</v>
      </c>
      <c r="L13" s="376" t="s">
        <v>156</v>
      </c>
    </row>
    <row r="14" spans="1:12" x14ac:dyDescent="0.25">
      <c r="A14" s="377">
        <v>44935.365806319445</v>
      </c>
      <c r="B14" s="376" t="s">
        <v>103</v>
      </c>
      <c r="C14" s="376" t="s">
        <v>113</v>
      </c>
      <c r="D14" s="376" t="s">
        <v>141</v>
      </c>
      <c r="E14" s="376" t="s">
        <v>157</v>
      </c>
      <c r="F14" s="376" t="s">
        <v>158</v>
      </c>
      <c r="G14" s="376" t="s">
        <v>108</v>
      </c>
      <c r="H14" s="376">
        <v>5</v>
      </c>
      <c r="I14" s="376" t="s">
        <v>134</v>
      </c>
      <c r="J14" s="376" t="s">
        <v>159</v>
      </c>
      <c r="K14" s="376">
        <v>10</v>
      </c>
      <c r="L14" s="376" t="s">
        <v>160</v>
      </c>
    </row>
    <row r="15" spans="1:12" x14ac:dyDescent="0.25">
      <c r="A15" s="377">
        <v>44935.894152048611</v>
      </c>
      <c r="B15" s="376" t="s">
        <v>103</v>
      </c>
      <c r="C15" s="376" t="s">
        <v>161</v>
      </c>
      <c r="D15" s="376" t="s">
        <v>162</v>
      </c>
      <c r="E15" s="376" t="s">
        <v>163</v>
      </c>
      <c r="F15" s="376" t="s">
        <v>115</v>
      </c>
      <c r="G15" s="376" t="s">
        <v>116</v>
      </c>
      <c r="H15" s="376">
        <v>1</v>
      </c>
      <c r="I15" s="376" t="s">
        <v>109</v>
      </c>
      <c r="J15" s="376" t="s">
        <v>164</v>
      </c>
      <c r="K15" s="376">
        <v>3</v>
      </c>
      <c r="L15" s="376" t="s">
        <v>165</v>
      </c>
    </row>
    <row r="16" spans="1:12" x14ac:dyDescent="0.25">
      <c r="A16" s="377">
        <v>44936.801674849536</v>
      </c>
      <c r="B16" s="376" t="s">
        <v>112</v>
      </c>
      <c r="C16" s="376" t="s">
        <v>151</v>
      </c>
      <c r="D16" s="376" t="s">
        <v>114</v>
      </c>
      <c r="E16" s="376" t="s">
        <v>166</v>
      </c>
      <c r="F16" s="376" t="s">
        <v>153</v>
      </c>
      <c r="G16" s="376" t="s">
        <v>130</v>
      </c>
      <c r="H16" s="376">
        <v>5</v>
      </c>
      <c r="I16" s="376" t="s">
        <v>167</v>
      </c>
      <c r="J16" s="376" t="s">
        <v>168</v>
      </c>
      <c r="K16" s="376">
        <v>10</v>
      </c>
      <c r="L16" s="376" t="s">
        <v>169</v>
      </c>
    </row>
    <row r="17" spans="1:12" x14ac:dyDescent="0.25">
      <c r="A17" s="377">
        <v>44937.78598641204</v>
      </c>
      <c r="B17" s="376" t="s">
        <v>103</v>
      </c>
      <c r="C17" s="376" t="s">
        <v>104</v>
      </c>
      <c r="D17" s="376" t="s">
        <v>141</v>
      </c>
      <c r="E17" s="376" t="s">
        <v>170</v>
      </c>
      <c r="F17" s="376" t="s">
        <v>149</v>
      </c>
      <c r="G17" s="376" t="s">
        <v>108</v>
      </c>
      <c r="H17" s="376">
        <v>5</v>
      </c>
      <c r="I17" s="376" t="s">
        <v>134</v>
      </c>
      <c r="J17" s="376" t="s">
        <v>135</v>
      </c>
      <c r="K17" s="376">
        <v>9</v>
      </c>
      <c r="L17" s="376" t="s">
        <v>171</v>
      </c>
    </row>
    <row r="18" spans="1:12" x14ac:dyDescent="0.25">
      <c r="A18" s="377">
        <v>44942.386222905094</v>
      </c>
      <c r="B18" s="376" t="s">
        <v>112</v>
      </c>
      <c r="C18" s="376" t="s">
        <v>113</v>
      </c>
      <c r="D18" s="376" t="s">
        <v>120</v>
      </c>
      <c r="E18" s="376" t="s">
        <v>126</v>
      </c>
      <c r="F18" s="376" t="s">
        <v>107</v>
      </c>
      <c r="G18" s="376" t="s">
        <v>116</v>
      </c>
      <c r="H18" s="376">
        <v>5</v>
      </c>
      <c r="I18" s="376" t="s">
        <v>134</v>
      </c>
      <c r="J18" s="376" t="s">
        <v>172</v>
      </c>
      <c r="K18" s="376">
        <v>10</v>
      </c>
      <c r="L18" s="376" t="s">
        <v>173</v>
      </c>
    </row>
    <row r="19" spans="1:12" x14ac:dyDescent="0.25">
      <c r="A19" s="377">
        <v>44942.425217719909</v>
      </c>
      <c r="B19" s="376" t="s">
        <v>103</v>
      </c>
      <c r="C19" s="376" t="s">
        <v>113</v>
      </c>
      <c r="D19" s="376" t="s">
        <v>141</v>
      </c>
      <c r="E19" s="376" t="s">
        <v>174</v>
      </c>
      <c r="F19" s="376" t="s">
        <v>149</v>
      </c>
      <c r="G19" s="376" t="s">
        <v>108</v>
      </c>
      <c r="H19" s="376">
        <v>4</v>
      </c>
      <c r="I19" s="376" t="s">
        <v>154</v>
      </c>
      <c r="J19" s="376" t="s">
        <v>172</v>
      </c>
      <c r="K19" s="376">
        <v>8</v>
      </c>
      <c r="L19" s="376" t="s">
        <v>175</v>
      </c>
    </row>
    <row r="20" spans="1:12" x14ac:dyDescent="0.25">
      <c r="A20" s="377">
        <v>44942.449760127318</v>
      </c>
      <c r="B20" s="376" t="s">
        <v>103</v>
      </c>
      <c r="C20" s="376" t="s">
        <v>113</v>
      </c>
      <c r="D20" s="376" t="s">
        <v>120</v>
      </c>
      <c r="E20" s="376" t="s">
        <v>126</v>
      </c>
      <c r="F20" s="376" t="s">
        <v>115</v>
      </c>
      <c r="G20" s="376" t="s">
        <v>116</v>
      </c>
      <c r="H20" s="376">
        <v>4</v>
      </c>
      <c r="I20" s="376" t="s">
        <v>117</v>
      </c>
      <c r="J20" s="376" t="s">
        <v>168</v>
      </c>
      <c r="K20" s="376">
        <v>9</v>
      </c>
      <c r="L20" s="376" t="s">
        <v>176</v>
      </c>
    </row>
    <row r="21" spans="1:12" x14ac:dyDescent="0.25">
      <c r="A21" s="377">
        <v>44949.433756944447</v>
      </c>
      <c r="B21" s="376" t="s">
        <v>112</v>
      </c>
      <c r="C21" s="376" t="s">
        <v>113</v>
      </c>
      <c r="D21" s="376" t="s">
        <v>105</v>
      </c>
      <c r="E21" s="376" t="s">
        <v>177</v>
      </c>
      <c r="F21" s="376" t="s">
        <v>107</v>
      </c>
      <c r="G21" s="376" t="s">
        <v>116</v>
      </c>
      <c r="H21" s="376">
        <v>4</v>
      </c>
      <c r="I21" s="376" t="s">
        <v>131</v>
      </c>
      <c r="J21" s="376" t="s">
        <v>118</v>
      </c>
      <c r="K21" s="376">
        <v>9</v>
      </c>
      <c r="L21" s="376" t="s">
        <v>178</v>
      </c>
    </row>
    <row r="22" spans="1:12" x14ac:dyDescent="0.25">
      <c r="A22" s="377">
        <v>44949.785589444444</v>
      </c>
      <c r="B22" s="376" t="s">
        <v>103</v>
      </c>
      <c r="C22" s="376" t="s">
        <v>113</v>
      </c>
      <c r="D22" s="376" t="s">
        <v>105</v>
      </c>
      <c r="E22" s="376" t="s">
        <v>179</v>
      </c>
      <c r="F22" s="376" t="s">
        <v>115</v>
      </c>
      <c r="G22" s="376" t="s">
        <v>108</v>
      </c>
      <c r="H22" s="376">
        <v>5</v>
      </c>
      <c r="I22" s="376" t="s">
        <v>117</v>
      </c>
      <c r="J22" s="376" t="s">
        <v>180</v>
      </c>
      <c r="K22" s="376">
        <v>10</v>
      </c>
      <c r="L22" s="376" t="s">
        <v>181</v>
      </c>
    </row>
    <row r="23" spans="1:12" x14ac:dyDescent="0.25">
      <c r="A23" s="377">
        <v>44949.951619004627</v>
      </c>
      <c r="B23" s="376" t="s">
        <v>103</v>
      </c>
      <c r="C23" s="376" t="s">
        <v>113</v>
      </c>
      <c r="D23" s="376" t="s">
        <v>141</v>
      </c>
      <c r="E23" s="376" t="s">
        <v>126</v>
      </c>
      <c r="F23" s="376" t="s">
        <v>115</v>
      </c>
      <c r="G23" s="376" t="s">
        <v>116</v>
      </c>
      <c r="H23" s="376">
        <v>5</v>
      </c>
      <c r="I23" s="376" t="s">
        <v>109</v>
      </c>
      <c r="J23" s="376" t="s">
        <v>182</v>
      </c>
      <c r="K23" s="376">
        <v>10</v>
      </c>
      <c r="L23" s="376" t="s">
        <v>183</v>
      </c>
    </row>
    <row r="24" spans="1:12" x14ac:dyDescent="0.25">
      <c r="A24" s="377">
        <v>44950.936081053238</v>
      </c>
      <c r="B24" s="376" t="s">
        <v>112</v>
      </c>
      <c r="C24" s="376" t="s">
        <v>113</v>
      </c>
      <c r="D24" s="376" t="s">
        <v>120</v>
      </c>
      <c r="E24" s="376" t="s">
        <v>126</v>
      </c>
      <c r="F24" s="376" t="s">
        <v>107</v>
      </c>
      <c r="G24" s="376" t="s">
        <v>116</v>
      </c>
      <c r="H24" s="376">
        <v>5</v>
      </c>
      <c r="I24" s="376" t="s">
        <v>134</v>
      </c>
      <c r="J24" s="376" t="s">
        <v>172</v>
      </c>
      <c r="K24" s="376">
        <v>10</v>
      </c>
      <c r="L24" s="376" t="s">
        <v>173</v>
      </c>
    </row>
    <row r="25" spans="1:12" x14ac:dyDescent="0.25">
      <c r="A25" s="377">
        <v>44951.528323946761</v>
      </c>
      <c r="B25" s="376" t="s">
        <v>103</v>
      </c>
      <c r="C25" s="376" t="s">
        <v>151</v>
      </c>
      <c r="D25" s="376" t="s">
        <v>184</v>
      </c>
      <c r="E25" s="376" t="s">
        <v>177</v>
      </c>
      <c r="F25" s="376" t="s">
        <v>185</v>
      </c>
      <c r="G25" s="376" t="s">
        <v>186</v>
      </c>
      <c r="H25" s="376">
        <v>5</v>
      </c>
      <c r="I25" s="376" t="s">
        <v>109</v>
      </c>
      <c r="J25" s="376" t="s">
        <v>118</v>
      </c>
      <c r="K25" s="376">
        <v>10</v>
      </c>
      <c r="L25" s="376" t="s">
        <v>187</v>
      </c>
    </row>
    <row r="26" spans="1:12" x14ac:dyDescent="0.25">
      <c r="A26" s="377">
        <v>44956.599931724537</v>
      </c>
      <c r="B26" s="376" t="s">
        <v>103</v>
      </c>
      <c r="C26" s="376" t="s">
        <v>151</v>
      </c>
      <c r="D26" s="376" t="s">
        <v>188</v>
      </c>
      <c r="E26" s="376" t="s">
        <v>121</v>
      </c>
      <c r="F26" s="376" t="s">
        <v>107</v>
      </c>
      <c r="G26" s="376" t="s">
        <v>116</v>
      </c>
      <c r="H26" s="376">
        <v>5</v>
      </c>
      <c r="I26" s="376" t="s">
        <v>109</v>
      </c>
      <c r="J26" s="376" t="s">
        <v>182</v>
      </c>
      <c r="K26" s="376">
        <v>8</v>
      </c>
      <c r="L26" s="376" t="s">
        <v>189</v>
      </c>
    </row>
    <row r="27" spans="1:12" x14ac:dyDescent="0.25">
      <c r="A27" s="377">
        <v>44962.411589421296</v>
      </c>
      <c r="B27" s="376" t="s">
        <v>103</v>
      </c>
      <c r="C27" s="376" t="s">
        <v>104</v>
      </c>
      <c r="D27" s="376" t="s">
        <v>190</v>
      </c>
      <c r="E27" s="376" t="s">
        <v>133</v>
      </c>
      <c r="F27" s="376" t="s">
        <v>191</v>
      </c>
      <c r="G27" s="376" t="s">
        <v>130</v>
      </c>
      <c r="H27" s="376">
        <v>5</v>
      </c>
      <c r="I27" s="376" t="s">
        <v>109</v>
      </c>
      <c r="J27" s="376" t="s">
        <v>192</v>
      </c>
      <c r="K27" s="376">
        <v>10</v>
      </c>
      <c r="L27" s="376" t="s">
        <v>193</v>
      </c>
    </row>
    <row r="28" spans="1:12" x14ac:dyDescent="0.25">
      <c r="A28" s="377">
        <v>44962.624029918981</v>
      </c>
      <c r="B28" s="376" t="s">
        <v>103</v>
      </c>
      <c r="C28" s="376" t="s">
        <v>113</v>
      </c>
      <c r="D28" s="376" t="s">
        <v>114</v>
      </c>
      <c r="E28" s="376" t="s">
        <v>177</v>
      </c>
      <c r="F28" s="376" t="s">
        <v>138</v>
      </c>
      <c r="G28" s="376" t="s">
        <v>194</v>
      </c>
      <c r="H28" s="376">
        <v>4</v>
      </c>
      <c r="I28" s="376" t="s">
        <v>167</v>
      </c>
      <c r="J28" s="376" t="s">
        <v>172</v>
      </c>
      <c r="K28" s="376">
        <v>8</v>
      </c>
      <c r="L28" s="376" t="s">
        <v>195</v>
      </c>
    </row>
    <row r="29" spans="1:12" x14ac:dyDescent="0.25">
      <c r="A29" s="377">
        <v>44962.871213043982</v>
      </c>
      <c r="B29" s="376" t="s">
        <v>103</v>
      </c>
      <c r="C29" s="376" t="s">
        <v>151</v>
      </c>
      <c r="D29" s="376" t="s">
        <v>120</v>
      </c>
      <c r="E29" s="376" t="s">
        <v>148</v>
      </c>
      <c r="F29" s="376" t="s">
        <v>138</v>
      </c>
      <c r="G29" s="376" t="s">
        <v>196</v>
      </c>
      <c r="H29" s="376">
        <v>5</v>
      </c>
      <c r="I29" s="376" t="s">
        <v>197</v>
      </c>
      <c r="J29" s="376" t="s">
        <v>135</v>
      </c>
      <c r="K29" s="376">
        <v>10</v>
      </c>
      <c r="L29" s="376" t="s">
        <v>198</v>
      </c>
    </row>
    <row r="30" spans="1:12" x14ac:dyDescent="0.25">
      <c r="A30" s="377">
        <v>44964.348451666665</v>
      </c>
      <c r="B30" s="376" t="s">
        <v>112</v>
      </c>
      <c r="C30" s="376" t="s">
        <v>199</v>
      </c>
      <c r="D30" s="376" t="s">
        <v>141</v>
      </c>
      <c r="E30" s="376" t="s">
        <v>126</v>
      </c>
      <c r="F30" s="376" t="s">
        <v>200</v>
      </c>
      <c r="G30" s="376" t="s">
        <v>201</v>
      </c>
      <c r="H30" s="376">
        <v>5</v>
      </c>
      <c r="I30" s="376" t="s">
        <v>109</v>
      </c>
      <c r="J30" s="376" t="s">
        <v>202</v>
      </c>
      <c r="K30" s="376">
        <v>9</v>
      </c>
      <c r="L30" s="376" t="s">
        <v>203</v>
      </c>
    </row>
    <row r="31" spans="1:12" x14ac:dyDescent="0.25">
      <c r="A31" s="377">
        <v>44965.952234282406</v>
      </c>
      <c r="B31" s="376" t="s">
        <v>103</v>
      </c>
      <c r="C31" s="376" t="s">
        <v>104</v>
      </c>
      <c r="D31" s="376" t="s">
        <v>141</v>
      </c>
      <c r="E31" s="376" t="s">
        <v>126</v>
      </c>
      <c r="F31" s="376" t="s">
        <v>149</v>
      </c>
      <c r="G31" s="376" t="s">
        <v>116</v>
      </c>
      <c r="H31" s="376">
        <v>4</v>
      </c>
      <c r="I31" s="376" t="s">
        <v>109</v>
      </c>
      <c r="J31" s="376" t="s">
        <v>135</v>
      </c>
      <c r="K31" s="376">
        <v>9</v>
      </c>
      <c r="L31" s="376" t="s">
        <v>204</v>
      </c>
    </row>
    <row r="32" spans="1:12" x14ac:dyDescent="0.25">
      <c r="A32" s="377">
        <v>44970.370675057871</v>
      </c>
      <c r="B32" s="376" t="s">
        <v>103</v>
      </c>
      <c r="C32" s="376" t="s">
        <v>113</v>
      </c>
      <c r="D32" s="376" t="s">
        <v>120</v>
      </c>
      <c r="E32" s="376" t="s">
        <v>126</v>
      </c>
      <c r="F32" s="376" t="s">
        <v>142</v>
      </c>
      <c r="G32" s="376" t="s">
        <v>143</v>
      </c>
      <c r="H32" s="376">
        <v>5</v>
      </c>
      <c r="I32" s="376" t="s">
        <v>117</v>
      </c>
      <c r="J32" s="376" t="s">
        <v>205</v>
      </c>
      <c r="K32" s="376">
        <v>9</v>
      </c>
      <c r="L32" s="376" t="s">
        <v>206</v>
      </c>
    </row>
    <row r="33" spans="1:12" x14ac:dyDescent="0.25">
      <c r="A33" s="377">
        <v>44970.405908946763</v>
      </c>
      <c r="B33" s="376" t="s">
        <v>103</v>
      </c>
      <c r="C33" s="376" t="s">
        <v>104</v>
      </c>
      <c r="D33" s="376" t="s">
        <v>141</v>
      </c>
      <c r="E33" s="376" t="s">
        <v>126</v>
      </c>
      <c r="F33" s="376" t="s">
        <v>115</v>
      </c>
      <c r="G33" s="376" t="s">
        <v>116</v>
      </c>
      <c r="H33" s="376">
        <v>5</v>
      </c>
      <c r="I33" s="376" t="s">
        <v>109</v>
      </c>
      <c r="J33" s="376" t="s">
        <v>207</v>
      </c>
      <c r="K33" s="376">
        <v>9</v>
      </c>
      <c r="L33" s="376" t="s">
        <v>208</v>
      </c>
    </row>
    <row r="34" spans="1:12" x14ac:dyDescent="0.25">
      <c r="A34" s="377">
        <v>44972.682570173609</v>
      </c>
      <c r="B34" s="376" t="s">
        <v>103</v>
      </c>
      <c r="C34" s="376" t="s">
        <v>161</v>
      </c>
      <c r="D34" s="376" t="s">
        <v>141</v>
      </c>
      <c r="E34" s="376" t="s">
        <v>126</v>
      </c>
      <c r="F34" s="376" t="s">
        <v>107</v>
      </c>
      <c r="G34" s="376" t="s">
        <v>116</v>
      </c>
      <c r="H34" s="376">
        <v>5</v>
      </c>
      <c r="I34" s="376" t="s">
        <v>134</v>
      </c>
      <c r="J34" s="376" t="s">
        <v>127</v>
      </c>
      <c r="K34" s="376">
        <v>10</v>
      </c>
      <c r="L34" s="376" t="s">
        <v>209</v>
      </c>
    </row>
    <row r="35" spans="1:12" x14ac:dyDescent="0.25">
      <c r="A35" s="377">
        <v>44976.410932013889</v>
      </c>
      <c r="B35" s="376" t="s">
        <v>112</v>
      </c>
      <c r="C35" s="376" t="s">
        <v>113</v>
      </c>
      <c r="D35" s="376" t="s">
        <v>141</v>
      </c>
      <c r="E35" s="376" t="s">
        <v>170</v>
      </c>
      <c r="F35" s="376" t="s">
        <v>210</v>
      </c>
      <c r="G35" s="376" t="s">
        <v>116</v>
      </c>
      <c r="H35" s="376">
        <v>5</v>
      </c>
      <c r="I35" s="376" t="s">
        <v>211</v>
      </c>
      <c r="J35" s="376" t="s">
        <v>135</v>
      </c>
      <c r="K35" s="376">
        <v>10</v>
      </c>
      <c r="L35" s="376" t="s">
        <v>212</v>
      </c>
    </row>
    <row r="36" spans="1:12" x14ac:dyDescent="0.25">
      <c r="A36" s="377">
        <v>44976.620483935185</v>
      </c>
      <c r="B36" s="376" t="s">
        <v>103</v>
      </c>
      <c r="C36" s="376" t="s">
        <v>113</v>
      </c>
      <c r="D36" s="376" t="s">
        <v>120</v>
      </c>
      <c r="E36" s="376" t="s">
        <v>121</v>
      </c>
      <c r="F36" s="376" t="s">
        <v>107</v>
      </c>
      <c r="G36" s="376" t="s">
        <v>213</v>
      </c>
      <c r="H36" s="376">
        <v>5</v>
      </c>
      <c r="I36" s="376" t="s">
        <v>109</v>
      </c>
      <c r="J36" s="376" t="s">
        <v>168</v>
      </c>
      <c r="K36" s="376">
        <v>10</v>
      </c>
      <c r="L36" s="376" t="s">
        <v>214</v>
      </c>
    </row>
    <row r="37" spans="1:12" x14ac:dyDescent="0.25">
      <c r="A37" s="377">
        <v>44984.358782361116</v>
      </c>
      <c r="B37" s="376" t="s">
        <v>103</v>
      </c>
      <c r="C37" s="376" t="s">
        <v>104</v>
      </c>
      <c r="D37" s="376" t="s">
        <v>120</v>
      </c>
      <c r="E37" s="376" t="s">
        <v>148</v>
      </c>
      <c r="F37" s="376" t="s">
        <v>115</v>
      </c>
      <c r="G37" s="376" t="s">
        <v>116</v>
      </c>
      <c r="H37" s="376">
        <v>3</v>
      </c>
      <c r="I37" s="376" t="s">
        <v>109</v>
      </c>
      <c r="J37" s="376" t="s">
        <v>127</v>
      </c>
      <c r="K37" s="376">
        <v>6</v>
      </c>
      <c r="L37" s="376" t="s">
        <v>215</v>
      </c>
    </row>
    <row r="38" spans="1:12" x14ac:dyDescent="0.25">
      <c r="A38" s="377">
        <v>44984.387063171293</v>
      </c>
      <c r="B38" s="376" t="s">
        <v>103</v>
      </c>
      <c r="C38" s="376" t="s">
        <v>104</v>
      </c>
      <c r="D38" s="376" t="s">
        <v>114</v>
      </c>
      <c r="E38" s="376" t="s">
        <v>121</v>
      </c>
      <c r="F38" s="376" t="s">
        <v>115</v>
      </c>
      <c r="G38" s="376" t="s">
        <v>116</v>
      </c>
      <c r="H38" s="376">
        <v>5</v>
      </c>
      <c r="I38" s="376" t="s">
        <v>131</v>
      </c>
      <c r="J38" s="376" t="s">
        <v>127</v>
      </c>
      <c r="K38" s="376">
        <v>9</v>
      </c>
      <c r="L38" s="376" t="s">
        <v>216</v>
      </c>
    </row>
    <row r="39" spans="1:12" x14ac:dyDescent="0.25">
      <c r="A39" s="377">
        <v>44984.405109050931</v>
      </c>
      <c r="B39" s="376" t="s">
        <v>103</v>
      </c>
      <c r="C39" s="376" t="s">
        <v>113</v>
      </c>
      <c r="D39" s="376" t="s">
        <v>105</v>
      </c>
      <c r="E39" s="376" t="s">
        <v>126</v>
      </c>
      <c r="F39" s="376" t="s">
        <v>149</v>
      </c>
      <c r="G39" s="376" t="s">
        <v>116</v>
      </c>
      <c r="H39" s="376">
        <v>4</v>
      </c>
      <c r="I39" s="376" t="s">
        <v>117</v>
      </c>
      <c r="J39" s="376" t="s">
        <v>124</v>
      </c>
      <c r="K39" s="376">
        <v>8</v>
      </c>
      <c r="L39" s="376" t="s">
        <v>217</v>
      </c>
    </row>
    <row r="40" spans="1:12" x14ac:dyDescent="0.25">
      <c r="A40" s="377">
        <v>44986.841803807867</v>
      </c>
      <c r="B40" s="376" t="s">
        <v>103</v>
      </c>
      <c r="C40" s="376" t="s">
        <v>104</v>
      </c>
      <c r="D40" s="376" t="s">
        <v>218</v>
      </c>
      <c r="E40" s="376" t="s">
        <v>148</v>
      </c>
      <c r="F40" s="376" t="s">
        <v>107</v>
      </c>
      <c r="G40" s="376" t="s">
        <v>116</v>
      </c>
      <c r="H40" s="376">
        <v>5</v>
      </c>
      <c r="I40" s="376" t="s">
        <v>131</v>
      </c>
      <c r="J40" s="376" t="s">
        <v>124</v>
      </c>
      <c r="K40" s="376">
        <v>8</v>
      </c>
      <c r="L40" s="376" t="s">
        <v>219</v>
      </c>
    </row>
    <row r="41" spans="1:12" x14ac:dyDescent="0.25">
      <c r="A41" s="377">
        <v>44990.848925081023</v>
      </c>
      <c r="B41" s="376" t="s">
        <v>112</v>
      </c>
      <c r="C41" s="376" t="s">
        <v>104</v>
      </c>
      <c r="D41" s="376" t="s">
        <v>141</v>
      </c>
      <c r="E41" s="376" t="s">
        <v>133</v>
      </c>
      <c r="F41" s="376" t="s">
        <v>149</v>
      </c>
      <c r="G41" s="376" t="s">
        <v>108</v>
      </c>
      <c r="H41" s="376">
        <v>5</v>
      </c>
      <c r="I41" s="376" t="s">
        <v>134</v>
      </c>
      <c r="J41" s="376" t="s">
        <v>168</v>
      </c>
      <c r="K41" s="376">
        <v>9</v>
      </c>
      <c r="L41" s="376" t="s">
        <v>220</v>
      </c>
    </row>
    <row r="42" spans="1:12" x14ac:dyDescent="0.25">
      <c r="A42" s="377">
        <v>44991.574607997682</v>
      </c>
      <c r="B42" s="376" t="s">
        <v>103</v>
      </c>
      <c r="C42" s="376" t="s">
        <v>161</v>
      </c>
      <c r="D42" s="376" t="s">
        <v>221</v>
      </c>
      <c r="E42" s="376" t="s">
        <v>126</v>
      </c>
      <c r="F42" s="376" t="s">
        <v>115</v>
      </c>
      <c r="G42" s="376" t="s">
        <v>116</v>
      </c>
      <c r="H42" s="376">
        <v>5</v>
      </c>
      <c r="I42" s="376" t="s">
        <v>117</v>
      </c>
      <c r="J42" s="376" t="s">
        <v>118</v>
      </c>
      <c r="K42" s="376">
        <v>9</v>
      </c>
      <c r="L42" s="376" t="s">
        <v>222</v>
      </c>
    </row>
    <row r="43" spans="1:12" x14ac:dyDescent="0.25">
      <c r="A43" s="377">
        <v>44992.472416307872</v>
      </c>
      <c r="B43" s="376" t="s">
        <v>103</v>
      </c>
      <c r="C43" s="376" t="s">
        <v>161</v>
      </c>
      <c r="D43" s="376" t="s">
        <v>184</v>
      </c>
      <c r="E43" s="376" t="s">
        <v>148</v>
      </c>
      <c r="F43" s="376" t="s">
        <v>223</v>
      </c>
      <c r="G43" s="376" t="s">
        <v>116</v>
      </c>
      <c r="H43" s="376">
        <v>4</v>
      </c>
      <c r="I43" s="376" t="s">
        <v>134</v>
      </c>
      <c r="J43" s="376" t="s">
        <v>202</v>
      </c>
      <c r="K43" s="376">
        <v>7</v>
      </c>
      <c r="L43" s="376" t="s">
        <v>224</v>
      </c>
    </row>
    <row r="44" spans="1:12" x14ac:dyDescent="0.25">
      <c r="A44" s="377">
        <v>44993.708008067129</v>
      </c>
      <c r="B44" s="376" t="s">
        <v>112</v>
      </c>
      <c r="C44" s="376" t="s">
        <v>161</v>
      </c>
      <c r="D44" s="376" t="s">
        <v>120</v>
      </c>
      <c r="E44" s="376" t="s">
        <v>126</v>
      </c>
      <c r="F44" s="376" t="s">
        <v>142</v>
      </c>
      <c r="G44" s="376" t="s">
        <v>116</v>
      </c>
      <c r="H44" s="376">
        <v>5</v>
      </c>
      <c r="I44" s="376" t="s">
        <v>154</v>
      </c>
      <c r="J44" s="376" t="s">
        <v>207</v>
      </c>
      <c r="K44" s="376">
        <v>10</v>
      </c>
      <c r="L44" s="376" t="s">
        <v>225</v>
      </c>
    </row>
    <row r="45" spans="1:12" x14ac:dyDescent="0.25">
      <c r="A45" s="377">
        <v>44999.492429872684</v>
      </c>
      <c r="B45" s="376" t="s">
        <v>103</v>
      </c>
      <c r="C45" s="376" t="s">
        <v>104</v>
      </c>
      <c r="D45" s="376" t="s">
        <v>120</v>
      </c>
      <c r="E45" s="376" t="s">
        <v>126</v>
      </c>
      <c r="F45" s="376" t="s">
        <v>115</v>
      </c>
      <c r="G45" s="376" t="s">
        <v>116</v>
      </c>
      <c r="H45" s="376">
        <v>4</v>
      </c>
      <c r="I45" s="376" t="s">
        <v>117</v>
      </c>
      <c r="J45" s="376" t="s">
        <v>226</v>
      </c>
      <c r="K45" s="376">
        <v>7</v>
      </c>
      <c r="L45" s="376" t="s">
        <v>227</v>
      </c>
    </row>
    <row r="46" spans="1:12" x14ac:dyDescent="0.25">
      <c r="A46" s="377">
        <v>44999.500675763891</v>
      </c>
      <c r="B46" s="376" t="s">
        <v>103</v>
      </c>
      <c r="C46" s="376" t="s">
        <v>104</v>
      </c>
      <c r="D46" s="376" t="s">
        <v>141</v>
      </c>
      <c r="E46" s="376" t="s">
        <v>228</v>
      </c>
      <c r="F46" s="376" t="s">
        <v>229</v>
      </c>
      <c r="G46" s="376" t="s">
        <v>108</v>
      </c>
      <c r="H46" s="376">
        <v>5</v>
      </c>
      <c r="I46" s="376" t="s">
        <v>109</v>
      </c>
      <c r="J46" s="376" t="s">
        <v>205</v>
      </c>
      <c r="K46" s="376">
        <v>10</v>
      </c>
      <c r="L46" s="376" t="s">
        <v>230</v>
      </c>
    </row>
    <row r="47" spans="1:12" x14ac:dyDescent="0.25">
      <c r="A47" s="377">
        <v>44999.506865925927</v>
      </c>
      <c r="B47" s="376" t="s">
        <v>103</v>
      </c>
      <c r="C47" s="376" t="s">
        <v>104</v>
      </c>
      <c r="D47" s="376" t="s">
        <v>114</v>
      </c>
      <c r="E47" s="376" t="s">
        <v>177</v>
      </c>
      <c r="F47" s="376" t="s">
        <v>149</v>
      </c>
      <c r="G47" s="376" t="s">
        <v>108</v>
      </c>
      <c r="H47" s="376">
        <v>5</v>
      </c>
      <c r="I47" s="376" t="s">
        <v>154</v>
      </c>
      <c r="J47" s="376" t="s">
        <v>168</v>
      </c>
      <c r="K47" s="376">
        <v>9</v>
      </c>
      <c r="L47" s="376" t="s">
        <v>231</v>
      </c>
    </row>
    <row r="48" spans="1:12" x14ac:dyDescent="0.25">
      <c r="A48" s="377">
        <v>45000.818354641204</v>
      </c>
      <c r="B48" s="376" t="s">
        <v>103</v>
      </c>
      <c r="C48" s="376" t="s">
        <v>151</v>
      </c>
      <c r="D48" s="376" t="s">
        <v>232</v>
      </c>
      <c r="E48" s="376" t="s">
        <v>126</v>
      </c>
      <c r="F48" s="376" t="s">
        <v>115</v>
      </c>
      <c r="G48" s="376" t="s">
        <v>116</v>
      </c>
      <c r="H48" s="376">
        <v>4</v>
      </c>
      <c r="I48" s="376" t="s">
        <v>109</v>
      </c>
      <c r="J48" s="376" t="s">
        <v>172</v>
      </c>
      <c r="K48" s="376">
        <v>8</v>
      </c>
      <c r="L48" s="376" t="s">
        <v>233</v>
      </c>
    </row>
    <row r="49" spans="1:12" x14ac:dyDescent="0.25">
      <c r="A49" s="377">
        <v>45005.418116944449</v>
      </c>
      <c r="B49" s="376" t="s">
        <v>103</v>
      </c>
      <c r="C49" s="376" t="s">
        <v>151</v>
      </c>
      <c r="D49" s="376" t="s">
        <v>234</v>
      </c>
      <c r="E49" s="376" t="s">
        <v>177</v>
      </c>
      <c r="F49" s="376" t="s">
        <v>107</v>
      </c>
      <c r="G49" s="376" t="s">
        <v>108</v>
      </c>
      <c r="H49" s="376">
        <v>5</v>
      </c>
      <c r="I49" s="376" t="s">
        <v>134</v>
      </c>
      <c r="J49" s="376" t="s">
        <v>118</v>
      </c>
      <c r="K49" s="376">
        <v>10</v>
      </c>
      <c r="L49" s="376" t="s">
        <v>235</v>
      </c>
    </row>
    <row r="50" spans="1:12" x14ac:dyDescent="0.25">
      <c r="A50" s="377">
        <v>45005.466736620372</v>
      </c>
      <c r="B50" s="376" t="s">
        <v>103</v>
      </c>
      <c r="C50" s="376" t="s">
        <v>113</v>
      </c>
      <c r="D50" s="376" t="s">
        <v>141</v>
      </c>
      <c r="E50" s="376" t="s">
        <v>133</v>
      </c>
      <c r="F50" s="376" t="s">
        <v>115</v>
      </c>
      <c r="G50" s="376" t="s">
        <v>116</v>
      </c>
      <c r="H50" s="376">
        <v>5</v>
      </c>
      <c r="I50" s="376" t="s">
        <v>134</v>
      </c>
      <c r="J50" s="376" t="s">
        <v>172</v>
      </c>
      <c r="K50" s="376">
        <v>9</v>
      </c>
      <c r="L50" s="376" t="s">
        <v>236</v>
      </c>
    </row>
    <row r="51" spans="1:12" x14ac:dyDescent="0.25">
      <c r="A51" s="377">
        <v>45005.488344039353</v>
      </c>
      <c r="B51" s="376" t="s">
        <v>103</v>
      </c>
      <c r="C51" s="376" t="s">
        <v>104</v>
      </c>
      <c r="D51" s="376" t="s">
        <v>141</v>
      </c>
      <c r="E51" s="376" t="s">
        <v>170</v>
      </c>
      <c r="F51" s="376" t="s">
        <v>107</v>
      </c>
      <c r="G51" s="376" t="s">
        <v>108</v>
      </c>
      <c r="H51" s="376">
        <v>5</v>
      </c>
      <c r="I51" s="376" t="s">
        <v>109</v>
      </c>
      <c r="J51" s="376" t="s">
        <v>180</v>
      </c>
      <c r="K51" s="376">
        <v>10</v>
      </c>
      <c r="L51" s="376" t="s">
        <v>237</v>
      </c>
    </row>
    <row r="52" spans="1:12" x14ac:dyDescent="0.25">
      <c r="A52" s="377">
        <v>45005.630499166669</v>
      </c>
      <c r="B52" s="376" t="s">
        <v>103</v>
      </c>
      <c r="C52" s="376" t="s">
        <v>113</v>
      </c>
      <c r="D52" s="376" t="s">
        <v>120</v>
      </c>
      <c r="E52" s="376" t="s">
        <v>177</v>
      </c>
      <c r="F52" s="376" t="s">
        <v>115</v>
      </c>
      <c r="G52" s="376" t="s">
        <v>143</v>
      </c>
      <c r="H52" s="376">
        <v>5</v>
      </c>
      <c r="I52" s="376" t="s">
        <v>134</v>
      </c>
      <c r="J52" s="376" t="s">
        <v>238</v>
      </c>
      <c r="K52" s="376">
        <v>8</v>
      </c>
      <c r="L52" s="376" t="s">
        <v>239</v>
      </c>
    </row>
    <row r="53" spans="1:12" x14ac:dyDescent="0.25">
      <c r="A53" s="377">
        <v>45005.654933530095</v>
      </c>
      <c r="B53" s="376" t="s">
        <v>112</v>
      </c>
      <c r="C53" s="376" t="s">
        <v>104</v>
      </c>
      <c r="D53" s="376" t="s">
        <v>240</v>
      </c>
      <c r="E53" s="376" t="s">
        <v>133</v>
      </c>
      <c r="F53" s="376" t="s">
        <v>115</v>
      </c>
      <c r="G53" s="376" t="s">
        <v>108</v>
      </c>
      <c r="H53" s="376">
        <v>5</v>
      </c>
      <c r="I53" s="376" t="s">
        <v>109</v>
      </c>
      <c r="J53" s="376" t="s">
        <v>241</v>
      </c>
      <c r="K53" s="376">
        <v>10</v>
      </c>
      <c r="L53" s="376" t="s">
        <v>145</v>
      </c>
    </row>
    <row r="54" spans="1:12" x14ac:dyDescent="0.25">
      <c r="A54" s="377">
        <v>45005.702220208332</v>
      </c>
      <c r="B54" s="376" t="s">
        <v>103</v>
      </c>
      <c r="C54" s="376" t="s">
        <v>113</v>
      </c>
      <c r="D54" s="376" t="s">
        <v>141</v>
      </c>
      <c r="E54" s="376" t="s">
        <v>121</v>
      </c>
      <c r="F54" s="376" t="s">
        <v>142</v>
      </c>
      <c r="G54" s="376" t="s">
        <v>116</v>
      </c>
      <c r="H54" s="376">
        <v>5</v>
      </c>
      <c r="I54" s="376" t="s">
        <v>109</v>
      </c>
      <c r="J54" s="376" t="s">
        <v>242</v>
      </c>
      <c r="K54" s="376">
        <v>8</v>
      </c>
      <c r="L54" s="376" t="s">
        <v>243</v>
      </c>
    </row>
    <row r="55" spans="1:12" x14ac:dyDescent="0.25">
      <c r="A55" s="377">
        <v>45012.397238865742</v>
      </c>
      <c r="B55" s="376" t="s">
        <v>103</v>
      </c>
      <c r="C55" s="376" t="s">
        <v>113</v>
      </c>
      <c r="D55" s="376" t="s">
        <v>244</v>
      </c>
      <c r="E55" s="376" t="s">
        <v>126</v>
      </c>
      <c r="F55" s="376" t="s">
        <v>115</v>
      </c>
      <c r="G55" s="376" t="s">
        <v>116</v>
      </c>
      <c r="H55" s="376">
        <v>5</v>
      </c>
      <c r="I55" s="376" t="s">
        <v>117</v>
      </c>
      <c r="J55" s="376" t="s">
        <v>207</v>
      </c>
      <c r="K55" s="376">
        <v>7</v>
      </c>
      <c r="L55" s="376" t="s">
        <v>245</v>
      </c>
    </row>
    <row r="56" spans="1:12" x14ac:dyDescent="0.25">
      <c r="A56" s="377">
        <v>45016.621607835652</v>
      </c>
      <c r="B56" s="376" t="s">
        <v>103</v>
      </c>
      <c r="C56" s="376" t="s">
        <v>113</v>
      </c>
      <c r="D56" s="376" t="s">
        <v>141</v>
      </c>
      <c r="E56" s="376" t="s">
        <v>177</v>
      </c>
      <c r="F56" s="376" t="s">
        <v>115</v>
      </c>
      <c r="G56" s="376" t="s">
        <v>116</v>
      </c>
      <c r="H56" s="376">
        <v>5</v>
      </c>
      <c r="I56" s="376" t="s">
        <v>134</v>
      </c>
      <c r="J56" s="376" t="s">
        <v>135</v>
      </c>
      <c r="K56" s="376">
        <v>10</v>
      </c>
      <c r="L56" s="376" t="s">
        <v>176</v>
      </c>
    </row>
    <row r="57" spans="1:12" x14ac:dyDescent="0.25">
      <c r="A57" s="377">
        <v>45018.447358402773</v>
      </c>
      <c r="B57" s="376" t="s">
        <v>103</v>
      </c>
      <c r="C57" s="376" t="s">
        <v>113</v>
      </c>
      <c r="D57" s="376" t="s">
        <v>246</v>
      </c>
      <c r="E57" s="376" t="s">
        <v>177</v>
      </c>
      <c r="F57" s="376" t="s">
        <v>247</v>
      </c>
      <c r="G57" s="376" t="s">
        <v>130</v>
      </c>
      <c r="H57" s="376">
        <v>5</v>
      </c>
      <c r="I57" s="376" t="s">
        <v>131</v>
      </c>
      <c r="J57" s="376" t="s">
        <v>155</v>
      </c>
      <c r="K57" s="376">
        <v>8</v>
      </c>
      <c r="L57" s="376" t="s">
        <v>248</v>
      </c>
    </row>
    <row r="58" spans="1:12" x14ac:dyDescent="0.25">
      <c r="A58" s="377">
        <v>45018.60226428241</v>
      </c>
      <c r="B58" s="376" t="s">
        <v>103</v>
      </c>
      <c r="C58" s="376" t="s">
        <v>104</v>
      </c>
      <c r="D58" s="376" t="s">
        <v>114</v>
      </c>
      <c r="E58" s="376" t="s">
        <v>121</v>
      </c>
      <c r="F58" s="376" t="s">
        <v>107</v>
      </c>
      <c r="G58" s="376" t="s">
        <v>108</v>
      </c>
      <c r="H58" s="376">
        <v>5</v>
      </c>
      <c r="I58" s="376" t="s">
        <v>109</v>
      </c>
      <c r="J58" s="376" t="s">
        <v>127</v>
      </c>
      <c r="K58" s="376">
        <v>9</v>
      </c>
      <c r="L58" s="376" t="s">
        <v>249</v>
      </c>
    </row>
    <row r="59" spans="1:12" x14ac:dyDescent="0.25">
      <c r="A59" s="377">
        <v>45018.730349201389</v>
      </c>
      <c r="B59" s="376" t="s">
        <v>112</v>
      </c>
      <c r="C59" s="376" t="s">
        <v>161</v>
      </c>
      <c r="D59" s="376" t="s">
        <v>250</v>
      </c>
      <c r="E59" s="376" t="s">
        <v>179</v>
      </c>
      <c r="F59" s="376" t="s">
        <v>149</v>
      </c>
      <c r="G59" s="376" t="s">
        <v>201</v>
      </c>
      <c r="H59" s="376">
        <v>5</v>
      </c>
      <c r="I59" s="376" t="s">
        <v>117</v>
      </c>
      <c r="J59" s="376" t="s">
        <v>159</v>
      </c>
      <c r="K59" s="376">
        <v>10</v>
      </c>
      <c r="L59" s="376" t="s">
        <v>251</v>
      </c>
    </row>
    <row r="60" spans="1:12" x14ac:dyDescent="0.25">
      <c r="A60" s="377">
        <v>45018.823954861116</v>
      </c>
      <c r="B60" s="376" t="s">
        <v>103</v>
      </c>
      <c r="C60" s="376" t="s">
        <v>104</v>
      </c>
      <c r="D60" s="376" t="s">
        <v>120</v>
      </c>
      <c r="E60" s="376" t="s">
        <v>146</v>
      </c>
      <c r="F60" s="376" t="s">
        <v>115</v>
      </c>
      <c r="G60" s="376" t="s">
        <v>108</v>
      </c>
      <c r="H60" s="376">
        <v>5</v>
      </c>
      <c r="I60" s="376" t="s">
        <v>134</v>
      </c>
      <c r="J60" s="376" t="s">
        <v>207</v>
      </c>
      <c r="K60" s="376">
        <v>9</v>
      </c>
      <c r="L60" s="376" t="s">
        <v>252</v>
      </c>
    </row>
    <row r="61" spans="1:12" x14ac:dyDescent="0.25">
      <c r="A61" s="377">
        <v>45019.837963229162</v>
      </c>
      <c r="B61" s="376" t="s">
        <v>103</v>
      </c>
      <c r="C61" s="376" t="s">
        <v>113</v>
      </c>
      <c r="D61" s="376" t="s">
        <v>120</v>
      </c>
      <c r="E61" s="376" t="s">
        <v>126</v>
      </c>
      <c r="F61" s="376" t="s">
        <v>149</v>
      </c>
      <c r="G61" s="376" t="s">
        <v>116</v>
      </c>
      <c r="H61" s="376">
        <v>5</v>
      </c>
      <c r="I61" s="376" t="s">
        <v>109</v>
      </c>
      <c r="J61" s="376" t="s">
        <v>127</v>
      </c>
      <c r="K61" s="376">
        <v>9</v>
      </c>
      <c r="L61" s="376" t="s">
        <v>253</v>
      </c>
    </row>
    <row r="62" spans="1:12" x14ac:dyDescent="0.25">
      <c r="A62" s="377">
        <v>45019.928353796291</v>
      </c>
      <c r="B62" s="376" t="s">
        <v>103</v>
      </c>
      <c r="C62" s="376" t="s">
        <v>113</v>
      </c>
      <c r="D62" s="376" t="s">
        <v>141</v>
      </c>
      <c r="E62" s="376" t="s">
        <v>126</v>
      </c>
      <c r="F62" s="376" t="s">
        <v>149</v>
      </c>
      <c r="G62" s="376" t="s">
        <v>116</v>
      </c>
      <c r="H62" s="376">
        <v>5</v>
      </c>
      <c r="I62" s="376" t="s">
        <v>117</v>
      </c>
      <c r="J62" s="376" t="s">
        <v>182</v>
      </c>
      <c r="K62" s="376">
        <v>10</v>
      </c>
      <c r="L62" s="376" t="s">
        <v>254</v>
      </c>
    </row>
    <row r="63" spans="1:12" x14ac:dyDescent="0.25">
      <c r="A63" s="377">
        <v>45021.93585893519</v>
      </c>
      <c r="B63" s="376" t="s">
        <v>112</v>
      </c>
      <c r="C63" s="376" t="s">
        <v>161</v>
      </c>
      <c r="D63" s="376" t="s">
        <v>141</v>
      </c>
      <c r="E63" s="376" t="s">
        <v>126</v>
      </c>
      <c r="F63" s="376" t="s">
        <v>142</v>
      </c>
      <c r="G63" s="376" t="s">
        <v>196</v>
      </c>
      <c r="H63" s="376">
        <v>5</v>
      </c>
      <c r="I63" s="376" t="s">
        <v>117</v>
      </c>
      <c r="J63" s="376" t="s">
        <v>202</v>
      </c>
      <c r="K63" s="376">
        <v>10</v>
      </c>
      <c r="L63" s="376" t="s">
        <v>255</v>
      </c>
    </row>
    <row r="64" spans="1:12" x14ac:dyDescent="0.25">
      <c r="A64" s="377">
        <v>45023.751514664356</v>
      </c>
      <c r="B64" s="376" t="s">
        <v>103</v>
      </c>
      <c r="C64" s="376" t="s">
        <v>104</v>
      </c>
      <c r="D64" s="376" t="s">
        <v>141</v>
      </c>
      <c r="E64" s="376" t="s">
        <v>126</v>
      </c>
      <c r="F64" s="376" t="s">
        <v>142</v>
      </c>
      <c r="G64" s="376" t="s">
        <v>143</v>
      </c>
      <c r="H64" s="376">
        <v>5</v>
      </c>
      <c r="I64" s="376" t="s">
        <v>109</v>
      </c>
      <c r="J64" s="376" t="s">
        <v>124</v>
      </c>
      <c r="K64" s="376">
        <v>10</v>
      </c>
      <c r="L64" s="376" t="s">
        <v>256</v>
      </c>
    </row>
    <row r="65" spans="1:12" x14ac:dyDescent="0.25">
      <c r="A65" s="377">
        <v>45024.405004583328</v>
      </c>
      <c r="B65" s="376" t="s">
        <v>103</v>
      </c>
      <c r="C65" s="376" t="s">
        <v>104</v>
      </c>
      <c r="D65" s="376" t="s">
        <v>141</v>
      </c>
      <c r="E65" s="376" t="s">
        <v>257</v>
      </c>
      <c r="F65" s="376" t="s">
        <v>258</v>
      </c>
      <c r="G65" s="376" t="s">
        <v>116</v>
      </c>
      <c r="H65" s="376">
        <v>5</v>
      </c>
      <c r="I65" s="376" t="s">
        <v>109</v>
      </c>
      <c r="J65" s="376" t="s">
        <v>202</v>
      </c>
      <c r="K65" s="376">
        <v>10</v>
      </c>
      <c r="L65" s="376" t="s">
        <v>259</v>
      </c>
    </row>
    <row r="66" spans="1:12" x14ac:dyDescent="0.25">
      <c r="A66" s="377">
        <v>45024.408626388889</v>
      </c>
      <c r="B66" s="376" t="s">
        <v>103</v>
      </c>
      <c r="C66" s="376" t="s">
        <v>104</v>
      </c>
      <c r="D66" s="376" t="s">
        <v>120</v>
      </c>
      <c r="E66" s="376" t="s">
        <v>260</v>
      </c>
      <c r="F66" s="376" t="s">
        <v>138</v>
      </c>
      <c r="G66" s="376" t="s">
        <v>116</v>
      </c>
      <c r="H66" s="376">
        <v>4</v>
      </c>
      <c r="I66" s="376" t="s">
        <v>109</v>
      </c>
      <c r="J66" s="376" t="s">
        <v>168</v>
      </c>
      <c r="K66" s="376">
        <v>7</v>
      </c>
      <c r="L66" s="376" t="s">
        <v>261</v>
      </c>
    </row>
    <row r="67" spans="1:12" x14ac:dyDescent="0.25">
      <c r="A67" s="377">
        <v>45024.41871377315</v>
      </c>
      <c r="B67" s="376" t="s">
        <v>103</v>
      </c>
      <c r="C67" s="376" t="s">
        <v>199</v>
      </c>
      <c r="D67" s="376" t="s">
        <v>114</v>
      </c>
      <c r="E67" s="376" t="s">
        <v>170</v>
      </c>
      <c r="F67" s="376" t="s">
        <v>115</v>
      </c>
      <c r="G67" s="376" t="s">
        <v>116</v>
      </c>
      <c r="H67" s="376">
        <v>5</v>
      </c>
      <c r="I67" s="376" t="s">
        <v>197</v>
      </c>
      <c r="J67" s="376" t="s">
        <v>168</v>
      </c>
      <c r="K67" s="376">
        <v>9</v>
      </c>
      <c r="L67" s="376" t="s">
        <v>262</v>
      </c>
    </row>
    <row r="68" spans="1:12" x14ac:dyDescent="0.25">
      <c r="A68" s="377">
        <v>45024.507503321758</v>
      </c>
      <c r="B68" s="376" t="s">
        <v>103</v>
      </c>
      <c r="C68" s="376" t="s">
        <v>104</v>
      </c>
      <c r="D68" s="376" t="s">
        <v>263</v>
      </c>
      <c r="E68" s="376" t="s">
        <v>177</v>
      </c>
      <c r="F68" s="376" t="s">
        <v>142</v>
      </c>
      <c r="G68" s="376" t="s">
        <v>143</v>
      </c>
      <c r="H68" s="376">
        <v>5</v>
      </c>
      <c r="I68" s="376" t="s">
        <v>131</v>
      </c>
      <c r="J68" s="376" t="s">
        <v>207</v>
      </c>
      <c r="K68" s="376">
        <v>10</v>
      </c>
      <c r="L68" s="376" t="s">
        <v>264</v>
      </c>
    </row>
    <row r="69" spans="1:12" x14ac:dyDescent="0.25">
      <c r="A69" s="377">
        <v>45024.510010821759</v>
      </c>
      <c r="B69" s="376" t="s">
        <v>103</v>
      </c>
      <c r="C69" s="376" t="s">
        <v>104</v>
      </c>
      <c r="D69" s="376" t="s">
        <v>120</v>
      </c>
      <c r="E69" s="376" t="s">
        <v>265</v>
      </c>
      <c r="F69" s="376" t="s">
        <v>142</v>
      </c>
      <c r="G69" s="376" t="s">
        <v>116</v>
      </c>
      <c r="H69" s="376">
        <v>5</v>
      </c>
      <c r="I69" s="376" t="s">
        <v>134</v>
      </c>
      <c r="J69" s="376" t="s">
        <v>182</v>
      </c>
      <c r="K69" s="376">
        <v>10</v>
      </c>
      <c r="L69" s="376" t="s">
        <v>266</v>
      </c>
    </row>
    <row r="70" spans="1:12" x14ac:dyDescent="0.25">
      <c r="A70" s="377">
        <v>45024.627886331014</v>
      </c>
      <c r="B70" s="376" t="s">
        <v>112</v>
      </c>
      <c r="C70" s="376" t="s">
        <v>104</v>
      </c>
      <c r="D70" s="376" t="s">
        <v>120</v>
      </c>
      <c r="E70" s="376" t="s">
        <v>148</v>
      </c>
      <c r="F70" s="376" t="s">
        <v>122</v>
      </c>
      <c r="G70" s="376" t="s">
        <v>116</v>
      </c>
      <c r="H70" s="376">
        <v>4</v>
      </c>
      <c r="I70" s="376" t="s">
        <v>131</v>
      </c>
      <c r="J70" s="376" t="s">
        <v>172</v>
      </c>
      <c r="K70" s="376">
        <v>9</v>
      </c>
      <c r="L70" s="376" t="s">
        <v>267</v>
      </c>
    </row>
    <row r="71" spans="1:12" x14ac:dyDescent="0.25">
      <c r="A71" s="377">
        <v>45024.673939699074</v>
      </c>
      <c r="B71" s="376" t="s">
        <v>103</v>
      </c>
      <c r="C71" s="376" t="s">
        <v>113</v>
      </c>
      <c r="D71" s="376" t="s">
        <v>120</v>
      </c>
      <c r="E71" s="376" t="s">
        <v>133</v>
      </c>
      <c r="F71" s="376" t="s">
        <v>268</v>
      </c>
      <c r="G71" s="376" t="s">
        <v>116</v>
      </c>
      <c r="H71" s="376">
        <v>4</v>
      </c>
      <c r="I71" s="376" t="s">
        <v>109</v>
      </c>
      <c r="J71" s="376" t="s">
        <v>172</v>
      </c>
      <c r="K71" s="376">
        <v>7</v>
      </c>
      <c r="L71" s="376" t="s">
        <v>269</v>
      </c>
    </row>
    <row r="72" spans="1:12" x14ac:dyDescent="0.25">
      <c r="A72" s="377">
        <v>45024.683458564818</v>
      </c>
      <c r="B72" s="376" t="s">
        <v>103</v>
      </c>
      <c r="C72" s="376" t="s">
        <v>104</v>
      </c>
      <c r="D72" s="376" t="s">
        <v>270</v>
      </c>
      <c r="E72" s="376" t="s">
        <v>146</v>
      </c>
      <c r="F72" s="376" t="s">
        <v>149</v>
      </c>
      <c r="G72" s="376" t="s">
        <v>116</v>
      </c>
      <c r="H72" s="376">
        <v>3</v>
      </c>
      <c r="I72" s="376" t="s">
        <v>117</v>
      </c>
      <c r="J72" s="376" t="s">
        <v>127</v>
      </c>
      <c r="K72" s="376">
        <v>6</v>
      </c>
      <c r="L72" s="376" t="s">
        <v>271</v>
      </c>
    </row>
    <row r="73" spans="1:12" x14ac:dyDescent="0.25">
      <c r="A73" s="377">
        <v>45024.729750625003</v>
      </c>
      <c r="B73" s="376" t="s">
        <v>112</v>
      </c>
      <c r="C73" s="376" t="s">
        <v>113</v>
      </c>
      <c r="D73" s="376" t="s">
        <v>246</v>
      </c>
      <c r="E73" s="376" t="s">
        <v>146</v>
      </c>
      <c r="F73" s="376" t="s">
        <v>149</v>
      </c>
      <c r="G73" s="376" t="s">
        <v>116</v>
      </c>
      <c r="H73" s="376">
        <v>5</v>
      </c>
      <c r="I73" s="376" t="s">
        <v>109</v>
      </c>
      <c r="J73" s="376" t="s">
        <v>207</v>
      </c>
      <c r="K73" s="376">
        <v>8</v>
      </c>
      <c r="L73" s="376" t="s">
        <v>272</v>
      </c>
    </row>
    <row r="74" spans="1:12" x14ac:dyDescent="0.25">
      <c r="A74" s="377">
        <v>45024.784501550923</v>
      </c>
      <c r="B74" s="376" t="s">
        <v>103</v>
      </c>
      <c r="C74" s="376" t="s">
        <v>113</v>
      </c>
      <c r="D74" s="376" t="s">
        <v>141</v>
      </c>
      <c r="E74" s="376" t="s">
        <v>126</v>
      </c>
      <c r="F74" s="376" t="s">
        <v>210</v>
      </c>
      <c r="G74" s="376" t="s">
        <v>116</v>
      </c>
      <c r="H74" s="376">
        <v>5</v>
      </c>
      <c r="I74" s="376" t="s">
        <v>273</v>
      </c>
      <c r="J74" s="376" t="s">
        <v>274</v>
      </c>
      <c r="K74" s="376">
        <v>9</v>
      </c>
      <c r="L74" s="376" t="s">
        <v>275</v>
      </c>
    </row>
    <row r="75" spans="1:12" x14ac:dyDescent="0.25">
      <c r="A75" s="377">
        <v>45024.833679513889</v>
      </c>
      <c r="B75" s="376" t="s">
        <v>103</v>
      </c>
      <c r="C75" s="376" t="s">
        <v>104</v>
      </c>
      <c r="D75" s="376" t="s">
        <v>276</v>
      </c>
      <c r="E75" s="376" t="s">
        <v>126</v>
      </c>
      <c r="F75" s="376" t="s">
        <v>149</v>
      </c>
      <c r="G75" s="376" t="s">
        <v>116</v>
      </c>
      <c r="H75" s="376">
        <v>3</v>
      </c>
      <c r="I75" s="376" t="s">
        <v>277</v>
      </c>
      <c r="J75" s="376" t="s">
        <v>172</v>
      </c>
      <c r="K75" s="376">
        <v>6</v>
      </c>
      <c r="L75" s="376" t="s">
        <v>278</v>
      </c>
    </row>
    <row r="76" spans="1:12" x14ac:dyDescent="0.25">
      <c r="A76" s="377">
        <v>45024.848763541668</v>
      </c>
      <c r="B76" s="376" t="s">
        <v>103</v>
      </c>
      <c r="C76" s="376" t="s">
        <v>104</v>
      </c>
      <c r="D76" s="376" t="s">
        <v>114</v>
      </c>
      <c r="E76" s="376" t="s">
        <v>279</v>
      </c>
      <c r="F76" s="376" t="s">
        <v>142</v>
      </c>
      <c r="G76" s="376" t="s">
        <v>116</v>
      </c>
      <c r="H76" s="376">
        <v>5</v>
      </c>
      <c r="I76" s="376" t="s">
        <v>167</v>
      </c>
      <c r="J76" s="376" t="s">
        <v>118</v>
      </c>
      <c r="K76" s="376">
        <v>9</v>
      </c>
      <c r="L76" s="376" t="s">
        <v>280</v>
      </c>
    </row>
    <row r="77" spans="1:12" x14ac:dyDescent="0.25">
      <c r="A77" s="377">
        <v>45024.877503032403</v>
      </c>
      <c r="B77" s="376" t="s">
        <v>112</v>
      </c>
      <c r="C77" s="376" t="s">
        <v>113</v>
      </c>
      <c r="D77" s="376" t="s">
        <v>281</v>
      </c>
      <c r="E77" s="376" t="s">
        <v>257</v>
      </c>
      <c r="F77" s="376" t="s">
        <v>185</v>
      </c>
      <c r="G77" s="376" t="s">
        <v>282</v>
      </c>
      <c r="H77" s="376">
        <v>5</v>
      </c>
      <c r="I77" s="376" t="s">
        <v>273</v>
      </c>
      <c r="J77" s="376" t="s">
        <v>283</v>
      </c>
      <c r="K77" s="376">
        <v>5</v>
      </c>
      <c r="L77" s="376" t="s">
        <v>284</v>
      </c>
    </row>
    <row r="78" spans="1:12" x14ac:dyDescent="0.25">
      <c r="A78" s="377">
        <v>45025.299061712962</v>
      </c>
      <c r="B78" s="376" t="s">
        <v>103</v>
      </c>
      <c r="C78" s="376" t="s">
        <v>151</v>
      </c>
      <c r="D78" s="376" t="s">
        <v>120</v>
      </c>
      <c r="E78" s="376" t="s">
        <v>265</v>
      </c>
      <c r="F78" s="376" t="s">
        <v>210</v>
      </c>
      <c r="G78" s="376" t="s">
        <v>116</v>
      </c>
      <c r="H78" s="376">
        <v>4</v>
      </c>
      <c r="I78" s="376" t="s">
        <v>117</v>
      </c>
      <c r="J78" s="376" t="s">
        <v>207</v>
      </c>
      <c r="K78" s="376">
        <v>8</v>
      </c>
      <c r="L78" s="376" t="s">
        <v>285</v>
      </c>
    </row>
    <row r="79" spans="1:12" x14ac:dyDescent="0.25">
      <c r="A79" s="377">
        <v>45025.38761943287</v>
      </c>
      <c r="B79" s="376" t="s">
        <v>103</v>
      </c>
      <c r="C79" s="376" t="s">
        <v>113</v>
      </c>
      <c r="D79" s="376" t="s">
        <v>120</v>
      </c>
      <c r="E79" s="376" t="s">
        <v>286</v>
      </c>
      <c r="F79" s="376" t="s">
        <v>142</v>
      </c>
      <c r="G79" s="376" t="s">
        <v>116</v>
      </c>
      <c r="H79" s="376">
        <v>4</v>
      </c>
      <c r="I79" s="376" t="s">
        <v>134</v>
      </c>
      <c r="J79" s="376" t="s">
        <v>127</v>
      </c>
      <c r="K79" s="376">
        <v>8</v>
      </c>
      <c r="L79" s="376" t="s">
        <v>287</v>
      </c>
    </row>
    <row r="80" spans="1:12" x14ac:dyDescent="0.25">
      <c r="A80" s="377">
        <v>45025.630599722223</v>
      </c>
      <c r="B80" s="376" t="s">
        <v>103</v>
      </c>
      <c r="C80" s="376" t="s">
        <v>113</v>
      </c>
      <c r="D80" s="376" t="s">
        <v>288</v>
      </c>
      <c r="E80" s="376" t="s">
        <v>265</v>
      </c>
      <c r="F80" s="376" t="s">
        <v>210</v>
      </c>
      <c r="G80" s="376" t="s">
        <v>196</v>
      </c>
      <c r="H80" s="376">
        <v>5</v>
      </c>
      <c r="I80" s="376" t="s">
        <v>109</v>
      </c>
      <c r="J80" s="376" t="s">
        <v>118</v>
      </c>
      <c r="K80" s="376">
        <v>10</v>
      </c>
      <c r="L80" s="376" t="s">
        <v>289</v>
      </c>
    </row>
    <row r="81" spans="1:12" x14ac:dyDescent="0.25">
      <c r="A81" s="377">
        <v>45025.644610092597</v>
      </c>
      <c r="B81" s="376" t="s">
        <v>112</v>
      </c>
      <c r="C81" s="376" t="s">
        <v>113</v>
      </c>
      <c r="D81" s="376" t="s">
        <v>120</v>
      </c>
      <c r="E81" s="376" t="s">
        <v>290</v>
      </c>
      <c r="F81" s="376" t="s">
        <v>149</v>
      </c>
      <c r="G81" s="376" t="s">
        <v>116</v>
      </c>
      <c r="H81" s="376">
        <v>5</v>
      </c>
      <c r="I81" s="376" t="s">
        <v>277</v>
      </c>
      <c r="J81" s="376" t="s">
        <v>118</v>
      </c>
      <c r="K81" s="376">
        <v>9</v>
      </c>
      <c r="L81" s="376" t="s">
        <v>291</v>
      </c>
    </row>
    <row r="82" spans="1:12" x14ac:dyDescent="0.25">
      <c r="A82" s="377">
        <v>45025.673551400461</v>
      </c>
      <c r="B82" s="376" t="s">
        <v>112</v>
      </c>
      <c r="C82" s="376" t="s">
        <v>104</v>
      </c>
      <c r="D82" s="376" t="s">
        <v>141</v>
      </c>
      <c r="E82" s="376" t="s">
        <v>292</v>
      </c>
      <c r="F82" s="376" t="s">
        <v>115</v>
      </c>
      <c r="G82" s="376" t="s">
        <v>116</v>
      </c>
      <c r="H82" s="376">
        <v>5</v>
      </c>
      <c r="I82" s="376" t="s">
        <v>109</v>
      </c>
      <c r="J82" s="376" t="s">
        <v>127</v>
      </c>
      <c r="K82" s="376">
        <v>8</v>
      </c>
      <c r="L82" s="376" t="s">
        <v>293</v>
      </c>
    </row>
    <row r="83" spans="1:12" x14ac:dyDescent="0.25">
      <c r="A83" s="377">
        <v>45025.744122372686</v>
      </c>
      <c r="B83" s="376" t="s">
        <v>112</v>
      </c>
      <c r="C83" s="376" t="s">
        <v>104</v>
      </c>
      <c r="D83" s="376" t="s">
        <v>141</v>
      </c>
      <c r="E83" s="376" t="s">
        <v>260</v>
      </c>
      <c r="F83" s="376" t="s">
        <v>149</v>
      </c>
      <c r="G83" s="376" t="s">
        <v>116</v>
      </c>
      <c r="H83" s="376">
        <v>4</v>
      </c>
      <c r="I83" s="376" t="s">
        <v>131</v>
      </c>
      <c r="J83" s="376" t="s">
        <v>118</v>
      </c>
      <c r="K83" s="376">
        <v>8</v>
      </c>
      <c r="L83" s="376" t="s">
        <v>294</v>
      </c>
    </row>
    <row r="84" spans="1:12" x14ac:dyDescent="0.25">
      <c r="A84" s="377">
        <v>45025.775745069448</v>
      </c>
      <c r="B84" s="376" t="s">
        <v>103</v>
      </c>
      <c r="C84" s="376" t="s">
        <v>151</v>
      </c>
      <c r="D84" s="376" t="s">
        <v>141</v>
      </c>
      <c r="E84" s="376" t="s">
        <v>295</v>
      </c>
      <c r="F84" s="376" t="s">
        <v>296</v>
      </c>
      <c r="G84" s="376" t="s">
        <v>116</v>
      </c>
      <c r="H84" s="376">
        <v>5</v>
      </c>
      <c r="I84" s="376" t="s">
        <v>154</v>
      </c>
      <c r="J84" s="376" t="s">
        <v>180</v>
      </c>
      <c r="K84" s="376">
        <v>10</v>
      </c>
      <c r="L84" s="376" t="s">
        <v>233</v>
      </c>
    </row>
    <row r="85" spans="1:12" x14ac:dyDescent="0.25">
      <c r="A85" s="377">
        <v>45025.778825347224</v>
      </c>
      <c r="B85" s="376" t="s">
        <v>103</v>
      </c>
      <c r="C85" s="376" t="s">
        <v>104</v>
      </c>
      <c r="D85" s="376" t="s">
        <v>105</v>
      </c>
      <c r="E85" s="376" t="s">
        <v>297</v>
      </c>
      <c r="F85" s="376" t="s">
        <v>298</v>
      </c>
      <c r="G85" s="376" t="s">
        <v>143</v>
      </c>
      <c r="H85" s="376">
        <v>5</v>
      </c>
      <c r="I85" s="376" t="s">
        <v>277</v>
      </c>
      <c r="J85" s="376" t="s">
        <v>182</v>
      </c>
      <c r="K85" s="376">
        <v>10</v>
      </c>
      <c r="L85" s="376" t="s">
        <v>299</v>
      </c>
    </row>
    <row r="86" spans="1:12" x14ac:dyDescent="0.25">
      <c r="A86" s="377">
        <v>45025.823411759258</v>
      </c>
      <c r="B86" s="376" t="s">
        <v>103</v>
      </c>
      <c r="C86" s="376" t="s">
        <v>151</v>
      </c>
      <c r="D86" s="376" t="s">
        <v>300</v>
      </c>
      <c r="E86" s="376" t="s">
        <v>170</v>
      </c>
      <c r="F86" s="376" t="s">
        <v>138</v>
      </c>
      <c r="G86" s="376" t="s">
        <v>116</v>
      </c>
      <c r="H86" s="376">
        <v>3</v>
      </c>
      <c r="I86" s="376" t="s">
        <v>167</v>
      </c>
      <c r="J86" s="376" t="s">
        <v>301</v>
      </c>
      <c r="K86" s="376">
        <v>6</v>
      </c>
      <c r="L86" s="376" t="s">
        <v>302</v>
      </c>
    </row>
    <row r="87" spans="1:12" x14ac:dyDescent="0.25">
      <c r="A87" s="377">
        <v>45025.85010851852</v>
      </c>
      <c r="B87" s="376" t="s">
        <v>112</v>
      </c>
      <c r="C87" s="376" t="s">
        <v>161</v>
      </c>
      <c r="D87" s="376" t="s">
        <v>184</v>
      </c>
      <c r="E87" s="376" t="s">
        <v>257</v>
      </c>
      <c r="F87" s="376" t="s">
        <v>138</v>
      </c>
      <c r="G87" s="376" t="s">
        <v>201</v>
      </c>
      <c r="H87" s="376">
        <v>5</v>
      </c>
      <c r="I87" s="376" t="s">
        <v>117</v>
      </c>
      <c r="J87" s="376" t="s">
        <v>301</v>
      </c>
      <c r="K87" s="376">
        <v>8</v>
      </c>
      <c r="L87" s="376" t="s">
        <v>303</v>
      </c>
    </row>
    <row r="88" spans="1:12" x14ac:dyDescent="0.25">
      <c r="A88" s="377">
        <v>45025.874222152779</v>
      </c>
      <c r="B88" s="376" t="s">
        <v>103</v>
      </c>
      <c r="C88" s="376" t="s">
        <v>151</v>
      </c>
      <c r="D88" s="376" t="s">
        <v>141</v>
      </c>
      <c r="E88" s="376" t="s">
        <v>126</v>
      </c>
      <c r="F88" s="376" t="s">
        <v>142</v>
      </c>
      <c r="G88" s="376" t="s">
        <v>116</v>
      </c>
      <c r="H88" s="376">
        <v>5</v>
      </c>
      <c r="I88" s="376" t="s">
        <v>109</v>
      </c>
      <c r="J88" s="376" t="s">
        <v>118</v>
      </c>
      <c r="K88" s="376">
        <v>9</v>
      </c>
      <c r="L88" s="376" t="s">
        <v>304</v>
      </c>
    </row>
    <row r="89" spans="1:12" x14ac:dyDescent="0.25">
      <c r="A89" s="377">
        <v>45025.899928506944</v>
      </c>
      <c r="B89" s="376" t="s">
        <v>112</v>
      </c>
      <c r="C89" s="376" t="s">
        <v>104</v>
      </c>
      <c r="D89" s="376" t="s">
        <v>305</v>
      </c>
      <c r="E89" s="376" t="s">
        <v>133</v>
      </c>
      <c r="F89" s="376" t="s">
        <v>149</v>
      </c>
      <c r="G89" s="376" t="s">
        <v>116</v>
      </c>
      <c r="H89" s="376">
        <v>4</v>
      </c>
      <c r="I89" s="376" t="s">
        <v>131</v>
      </c>
      <c r="J89" s="376" t="s">
        <v>168</v>
      </c>
      <c r="K89" s="376">
        <v>8</v>
      </c>
      <c r="L89" s="376" t="s">
        <v>306</v>
      </c>
    </row>
    <row r="90" spans="1:12" x14ac:dyDescent="0.25">
      <c r="A90" s="377">
        <v>45025.946383101851</v>
      </c>
      <c r="B90" s="376" t="s">
        <v>103</v>
      </c>
      <c r="C90" s="376" t="s">
        <v>104</v>
      </c>
      <c r="D90" s="376" t="s">
        <v>141</v>
      </c>
      <c r="E90" s="376" t="s">
        <v>177</v>
      </c>
      <c r="F90" s="376" t="s">
        <v>149</v>
      </c>
      <c r="G90" s="376" t="s">
        <v>116</v>
      </c>
      <c r="H90" s="376">
        <v>5</v>
      </c>
      <c r="I90" s="376" t="s">
        <v>109</v>
      </c>
      <c r="J90" s="376" t="s">
        <v>110</v>
      </c>
      <c r="K90" s="376">
        <v>8</v>
      </c>
      <c r="L90" s="376" t="s">
        <v>307</v>
      </c>
    </row>
    <row r="91" spans="1:12" x14ac:dyDescent="0.25">
      <c r="A91" s="377">
        <v>45025.993087905095</v>
      </c>
      <c r="B91" s="376" t="s">
        <v>112</v>
      </c>
      <c r="C91" s="376" t="s">
        <v>113</v>
      </c>
      <c r="D91" s="376" t="s">
        <v>141</v>
      </c>
      <c r="E91" s="376" t="s">
        <v>308</v>
      </c>
      <c r="F91" s="376" t="s">
        <v>149</v>
      </c>
      <c r="G91" s="376" t="s">
        <v>116</v>
      </c>
      <c r="H91" s="376">
        <v>4</v>
      </c>
      <c r="I91" s="376" t="s">
        <v>117</v>
      </c>
      <c r="J91" s="376" t="s">
        <v>135</v>
      </c>
      <c r="K91" s="376">
        <v>8</v>
      </c>
      <c r="L91" s="376" t="s">
        <v>309</v>
      </c>
    </row>
    <row r="92" spans="1:12" x14ac:dyDescent="0.25">
      <c r="A92" s="377">
        <v>45026.051721134259</v>
      </c>
      <c r="B92" s="376" t="s">
        <v>103</v>
      </c>
      <c r="C92" s="376" t="s">
        <v>113</v>
      </c>
      <c r="D92" s="376" t="s">
        <v>310</v>
      </c>
      <c r="E92" s="376" t="s">
        <v>228</v>
      </c>
      <c r="F92" s="376" t="s">
        <v>107</v>
      </c>
      <c r="G92" s="376" t="s">
        <v>116</v>
      </c>
      <c r="H92" s="376">
        <v>4</v>
      </c>
      <c r="I92" s="376" t="s">
        <v>273</v>
      </c>
      <c r="J92" s="376" t="s">
        <v>311</v>
      </c>
      <c r="K92" s="376">
        <v>8</v>
      </c>
      <c r="L92" s="376" t="s">
        <v>312</v>
      </c>
    </row>
    <row r="93" spans="1:12" x14ac:dyDescent="0.25">
      <c r="A93" s="377">
        <v>45026.507943298609</v>
      </c>
      <c r="B93" s="376" t="s">
        <v>103</v>
      </c>
      <c r="C93" s="376" t="s">
        <v>104</v>
      </c>
      <c r="D93" s="376" t="s">
        <v>141</v>
      </c>
      <c r="E93" s="376" t="s">
        <v>313</v>
      </c>
      <c r="F93" s="376" t="s">
        <v>138</v>
      </c>
      <c r="G93" s="376" t="s">
        <v>116</v>
      </c>
      <c r="H93" s="376">
        <v>3</v>
      </c>
      <c r="I93" s="376" t="s">
        <v>273</v>
      </c>
      <c r="J93" s="376" t="s">
        <v>180</v>
      </c>
      <c r="K93" s="376">
        <v>7</v>
      </c>
      <c r="L93" s="376" t="s">
        <v>314</v>
      </c>
    </row>
    <row r="94" spans="1:12" x14ac:dyDescent="0.25">
      <c r="A94" s="377">
        <v>45026.768655335647</v>
      </c>
      <c r="B94" s="376" t="s">
        <v>103</v>
      </c>
      <c r="C94" s="376" t="s">
        <v>104</v>
      </c>
      <c r="D94" s="376" t="s">
        <v>120</v>
      </c>
      <c r="E94" s="376" t="s">
        <v>315</v>
      </c>
      <c r="F94" s="376" t="s">
        <v>107</v>
      </c>
      <c r="G94" s="376" t="s">
        <v>116</v>
      </c>
      <c r="H94" s="376">
        <v>3</v>
      </c>
      <c r="I94" s="376" t="s">
        <v>117</v>
      </c>
      <c r="J94" s="376" t="s">
        <v>135</v>
      </c>
      <c r="K94" s="376">
        <v>7</v>
      </c>
      <c r="L94" s="376" t="s">
        <v>316</v>
      </c>
    </row>
    <row r="95" spans="1:12" x14ac:dyDescent="0.25">
      <c r="A95" s="377">
        <v>45026.887699872685</v>
      </c>
      <c r="B95" s="376" t="s">
        <v>112</v>
      </c>
      <c r="C95" s="376" t="s">
        <v>113</v>
      </c>
      <c r="D95" s="376" t="s">
        <v>246</v>
      </c>
      <c r="E95" s="376" t="s">
        <v>257</v>
      </c>
      <c r="F95" s="376" t="s">
        <v>142</v>
      </c>
      <c r="G95" s="376" t="s">
        <v>116</v>
      </c>
      <c r="H95" s="376">
        <v>4</v>
      </c>
      <c r="I95" s="376" t="s">
        <v>117</v>
      </c>
      <c r="J95" s="376" t="s">
        <v>168</v>
      </c>
      <c r="K95" s="376">
        <v>7</v>
      </c>
      <c r="L95" s="376" t="s">
        <v>317</v>
      </c>
    </row>
    <row r="96" spans="1:12" x14ac:dyDescent="0.25">
      <c r="A96" s="377">
        <v>45027.889083078699</v>
      </c>
      <c r="B96" s="376" t="s">
        <v>103</v>
      </c>
      <c r="C96" s="376" t="s">
        <v>104</v>
      </c>
      <c r="D96" s="376" t="s">
        <v>120</v>
      </c>
      <c r="E96" s="376" t="s">
        <v>265</v>
      </c>
      <c r="F96" s="376" t="s">
        <v>107</v>
      </c>
      <c r="G96" s="376" t="s">
        <v>108</v>
      </c>
      <c r="H96" s="376">
        <v>5</v>
      </c>
      <c r="I96" s="376" t="s">
        <v>134</v>
      </c>
      <c r="J96" s="376" t="s">
        <v>135</v>
      </c>
      <c r="K96" s="376">
        <v>9</v>
      </c>
      <c r="L96" s="376" t="s">
        <v>318</v>
      </c>
    </row>
    <row r="97" spans="1:12" x14ac:dyDescent="0.25">
      <c r="A97" s="377">
        <v>45028.390235497689</v>
      </c>
      <c r="B97" s="376" t="s">
        <v>103</v>
      </c>
      <c r="C97" s="376" t="s">
        <v>104</v>
      </c>
      <c r="D97" s="376" t="s">
        <v>184</v>
      </c>
      <c r="E97" s="376" t="s">
        <v>126</v>
      </c>
      <c r="F97" s="376" t="s">
        <v>142</v>
      </c>
      <c r="G97" s="376" t="s">
        <v>116</v>
      </c>
      <c r="H97" s="376">
        <v>5</v>
      </c>
      <c r="I97" s="376" t="s">
        <v>319</v>
      </c>
      <c r="J97" s="376" t="s">
        <v>320</v>
      </c>
      <c r="K97" s="376">
        <v>10</v>
      </c>
      <c r="L97" s="376" t="s">
        <v>321</v>
      </c>
    </row>
    <row r="98" spans="1:12" x14ac:dyDescent="0.25">
      <c r="A98" s="377">
        <v>45029.464719537034</v>
      </c>
      <c r="B98" s="376" t="s">
        <v>112</v>
      </c>
      <c r="C98" s="376" t="s">
        <v>151</v>
      </c>
      <c r="D98" s="376" t="s">
        <v>141</v>
      </c>
      <c r="E98" s="376" t="s">
        <v>286</v>
      </c>
      <c r="F98" s="376" t="s">
        <v>107</v>
      </c>
      <c r="G98" s="376" t="s">
        <v>116</v>
      </c>
      <c r="H98" s="376">
        <v>4</v>
      </c>
      <c r="I98" s="376" t="s">
        <v>109</v>
      </c>
      <c r="J98" s="376" t="s">
        <v>207</v>
      </c>
      <c r="K98" s="376">
        <v>8</v>
      </c>
      <c r="L98" s="376" t="s">
        <v>322</v>
      </c>
    </row>
    <row r="99" spans="1:12" x14ac:dyDescent="0.25">
      <c r="A99" s="377">
        <v>45031.863870231478</v>
      </c>
      <c r="B99" s="376" t="s">
        <v>103</v>
      </c>
      <c r="C99" s="376" t="s">
        <v>104</v>
      </c>
      <c r="D99" s="376" t="s">
        <v>120</v>
      </c>
      <c r="E99" s="376" t="s">
        <v>126</v>
      </c>
      <c r="F99" s="376" t="s">
        <v>122</v>
      </c>
      <c r="G99" s="376" t="s">
        <v>116</v>
      </c>
      <c r="H99" s="376">
        <v>3</v>
      </c>
      <c r="I99" s="376" t="s">
        <v>117</v>
      </c>
      <c r="J99" s="376" t="s">
        <v>207</v>
      </c>
      <c r="K99" s="376">
        <v>7</v>
      </c>
      <c r="L99" s="376" t="s">
        <v>323</v>
      </c>
    </row>
    <row r="100" spans="1:12" x14ac:dyDescent="0.25">
      <c r="A100" s="377">
        <v>45032.589489918981</v>
      </c>
      <c r="B100" s="376" t="s">
        <v>103</v>
      </c>
      <c r="C100" s="376" t="s">
        <v>104</v>
      </c>
      <c r="D100" s="376" t="s">
        <v>141</v>
      </c>
      <c r="E100" s="376" t="s">
        <v>126</v>
      </c>
      <c r="F100" s="376" t="s">
        <v>149</v>
      </c>
      <c r="G100" s="376" t="s">
        <v>108</v>
      </c>
      <c r="H100" s="376">
        <v>5</v>
      </c>
      <c r="I100" s="376" t="s">
        <v>109</v>
      </c>
      <c r="J100" s="376" t="s">
        <v>118</v>
      </c>
      <c r="K100" s="376">
        <v>10</v>
      </c>
      <c r="L100" s="376" t="s">
        <v>324</v>
      </c>
    </row>
    <row r="101" spans="1:12" x14ac:dyDescent="0.25">
      <c r="A101" s="377">
        <v>45032.601404976856</v>
      </c>
      <c r="B101" s="376" t="s">
        <v>103</v>
      </c>
      <c r="C101" s="376" t="s">
        <v>104</v>
      </c>
      <c r="D101" s="376" t="s">
        <v>246</v>
      </c>
      <c r="E101" s="376" t="s">
        <v>126</v>
      </c>
      <c r="F101" s="376" t="s">
        <v>223</v>
      </c>
      <c r="G101" s="376" t="s">
        <v>108</v>
      </c>
      <c r="H101" s="376">
        <v>5</v>
      </c>
      <c r="I101" s="376" t="s">
        <v>117</v>
      </c>
      <c r="J101" s="376" t="s">
        <v>180</v>
      </c>
      <c r="K101" s="376">
        <v>10</v>
      </c>
      <c r="L101" s="376" t="s">
        <v>325</v>
      </c>
    </row>
    <row r="102" spans="1:12" x14ac:dyDescent="0.25">
      <c r="A102" s="377">
        <v>45032.711272604167</v>
      </c>
      <c r="B102" s="376" t="s">
        <v>112</v>
      </c>
      <c r="C102" s="376" t="s">
        <v>104</v>
      </c>
      <c r="D102" s="376" t="s">
        <v>141</v>
      </c>
      <c r="E102" s="376" t="s">
        <v>126</v>
      </c>
      <c r="F102" s="376" t="s">
        <v>191</v>
      </c>
      <c r="G102" s="376" t="s">
        <v>130</v>
      </c>
      <c r="H102" s="376">
        <v>5</v>
      </c>
      <c r="I102" s="376" t="s">
        <v>109</v>
      </c>
      <c r="J102" s="376" t="s">
        <v>274</v>
      </c>
      <c r="K102" s="376">
        <v>10</v>
      </c>
      <c r="L102" s="376" t="s">
        <v>326</v>
      </c>
    </row>
    <row r="103" spans="1:12" x14ac:dyDescent="0.25">
      <c r="A103" s="377">
        <v>45032.798719965278</v>
      </c>
      <c r="B103" s="376" t="s">
        <v>103</v>
      </c>
      <c r="C103" s="376" t="s">
        <v>113</v>
      </c>
      <c r="D103" s="376" t="s">
        <v>114</v>
      </c>
      <c r="E103" s="376" t="s">
        <v>121</v>
      </c>
      <c r="F103" s="376" t="s">
        <v>149</v>
      </c>
      <c r="G103" s="376" t="s">
        <v>108</v>
      </c>
      <c r="H103" s="376">
        <v>4</v>
      </c>
      <c r="I103" s="376" t="s">
        <v>109</v>
      </c>
      <c r="J103" s="376" t="s">
        <v>172</v>
      </c>
      <c r="K103" s="376">
        <v>9</v>
      </c>
      <c r="L103" s="376" t="s">
        <v>327</v>
      </c>
    </row>
    <row r="104" spans="1:12" x14ac:dyDescent="0.25">
      <c r="A104" s="377">
        <v>45037.79376083333</v>
      </c>
      <c r="B104" s="376" t="s">
        <v>103</v>
      </c>
      <c r="C104" s="376" t="s">
        <v>161</v>
      </c>
      <c r="D104" s="376" t="s">
        <v>328</v>
      </c>
      <c r="E104" s="376" t="s">
        <v>121</v>
      </c>
      <c r="F104" s="376" t="s">
        <v>115</v>
      </c>
      <c r="G104" s="376" t="s">
        <v>116</v>
      </c>
      <c r="H104" s="376">
        <v>5</v>
      </c>
      <c r="I104" s="376" t="s">
        <v>109</v>
      </c>
      <c r="J104" s="376" t="s">
        <v>172</v>
      </c>
      <c r="K104" s="376">
        <v>9</v>
      </c>
      <c r="L104" s="376" t="s">
        <v>329</v>
      </c>
    </row>
    <row r="105" spans="1:12" x14ac:dyDescent="0.25">
      <c r="A105" s="377">
        <v>45040.466667442131</v>
      </c>
      <c r="B105" s="376" t="s">
        <v>103</v>
      </c>
      <c r="C105" s="376" t="s">
        <v>104</v>
      </c>
      <c r="D105" s="376" t="s">
        <v>114</v>
      </c>
      <c r="E105" s="376" t="s">
        <v>148</v>
      </c>
      <c r="F105" s="376" t="s">
        <v>149</v>
      </c>
      <c r="G105" s="376" t="s">
        <v>123</v>
      </c>
      <c r="H105" s="376">
        <v>5</v>
      </c>
      <c r="I105" s="376" t="s">
        <v>134</v>
      </c>
      <c r="J105" s="376" t="s">
        <v>274</v>
      </c>
      <c r="K105" s="376">
        <v>10</v>
      </c>
      <c r="L105" s="376" t="s">
        <v>330</v>
      </c>
    </row>
    <row r="106" spans="1:12" x14ac:dyDescent="0.25">
      <c r="A106" s="377">
        <v>45040.824532592596</v>
      </c>
      <c r="B106" s="376" t="s">
        <v>103</v>
      </c>
      <c r="C106" s="376" t="s">
        <v>151</v>
      </c>
      <c r="D106" s="376" t="s">
        <v>141</v>
      </c>
      <c r="E106" s="376" t="s">
        <v>177</v>
      </c>
      <c r="F106" s="376" t="s">
        <v>107</v>
      </c>
      <c r="G106" s="376" t="s">
        <v>116</v>
      </c>
      <c r="H106" s="376">
        <v>4</v>
      </c>
      <c r="I106" s="376" t="s">
        <v>109</v>
      </c>
      <c r="J106" s="376" t="s">
        <v>168</v>
      </c>
      <c r="K106" s="376">
        <v>9</v>
      </c>
      <c r="L106" s="376" t="s">
        <v>331</v>
      </c>
    </row>
    <row r="107" spans="1:12" x14ac:dyDescent="0.25">
      <c r="A107" s="377">
        <v>45043.788158437499</v>
      </c>
      <c r="B107" s="376" t="s">
        <v>112</v>
      </c>
      <c r="C107" s="376" t="s">
        <v>151</v>
      </c>
      <c r="D107" s="376" t="s">
        <v>141</v>
      </c>
      <c r="E107" s="376" t="s">
        <v>126</v>
      </c>
      <c r="F107" s="376" t="s">
        <v>138</v>
      </c>
      <c r="G107" s="376" t="s">
        <v>116</v>
      </c>
      <c r="H107" s="376">
        <v>3</v>
      </c>
      <c r="I107" s="376" t="s">
        <v>154</v>
      </c>
      <c r="J107" s="376" t="s">
        <v>135</v>
      </c>
      <c r="K107" s="376">
        <v>8</v>
      </c>
      <c r="L107" s="376" t="s">
        <v>332</v>
      </c>
    </row>
    <row r="108" spans="1:12" x14ac:dyDescent="0.25">
      <c r="A108" s="377">
        <v>45046.580838668982</v>
      </c>
      <c r="B108" s="376" t="s">
        <v>112</v>
      </c>
      <c r="C108" s="376" t="s">
        <v>104</v>
      </c>
      <c r="D108" s="376" t="s">
        <v>114</v>
      </c>
      <c r="E108" s="376" t="s">
        <v>126</v>
      </c>
      <c r="F108" s="376" t="s">
        <v>149</v>
      </c>
      <c r="G108" s="376" t="s">
        <v>108</v>
      </c>
      <c r="H108" s="376">
        <v>5</v>
      </c>
      <c r="I108" s="376" t="s">
        <v>273</v>
      </c>
      <c r="J108" s="376" t="s">
        <v>135</v>
      </c>
      <c r="K108" s="376">
        <v>9</v>
      </c>
      <c r="L108" s="376" t="s">
        <v>333</v>
      </c>
    </row>
    <row r="109" spans="1:12" x14ac:dyDescent="0.25">
      <c r="A109" s="377">
        <v>45046.599953645833</v>
      </c>
      <c r="B109" s="376" t="s">
        <v>103</v>
      </c>
      <c r="C109" s="376" t="s">
        <v>104</v>
      </c>
      <c r="D109" s="376" t="s">
        <v>120</v>
      </c>
      <c r="E109" s="376" t="s">
        <v>146</v>
      </c>
      <c r="F109" s="376" t="s">
        <v>153</v>
      </c>
      <c r="G109" s="376" t="s">
        <v>108</v>
      </c>
      <c r="H109" s="376">
        <v>5</v>
      </c>
      <c r="I109" s="376" t="s">
        <v>117</v>
      </c>
      <c r="J109" s="376" t="s">
        <v>135</v>
      </c>
      <c r="K109" s="376">
        <v>9</v>
      </c>
      <c r="L109" s="376" t="s">
        <v>334</v>
      </c>
    </row>
    <row r="110" spans="1:12" x14ac:dyDescent="0.25">
      <c r="A110" s="377">
        <v>45046.648668831018</v>
      </c>
      <c r="B110" s="376" t="s">
        <v>103</v>
      </c>
      <c r="C110" s="376" t="s">
        <v>104</v>
      </c>
      <c r="D110" s="376" t="s">
        <v>114</v>
      </c>
      <c r="E110" s="376" t="s">
        <v>133</v>
      </c>
      <c r="F110" s="376" t="s">
        <v>149</v>
      </c>
      <c r="G110" s="376" t="s">
        <v>116</v>
      </c>
      <c r="H110" s="376">
        <v>4</v>
      </c>
      <c r="I110" s="376" t="s">
        <v>109</v>
      </c>
      <c r="J110" s="376" t="s">
        <v>135</v>
      </c>
      <c r="K110" s="376">
        <v>8</v>
      </c>
      <c r="L110" s="376" t="s">
        <v>176</v>
      </c>
    </row>
    <row r="111" spans="1:12" x14ac:dyDescent="0.25">
      <c r="A111" s="377">
        <v>45046.683067453705</v>
      </c>
      <c r="B111" s="376" t="s">
        <v>103</v>
      </c>
      <c r="C111" s="376" t="s">
        <v>104</v>
      </c>
      <c r="D111" s="376" t="s">
        <v>114</v>
      </c>
      <c r="E111" s="376" t="s">
        <v>126</v>
      </c>
      <c r="F111" s="376" t="s">
        <v>115</v>
      </c>
      <c r="G111" s="376" t="s">
        <v>108</v>
      </c>
      <c r="H111" s="376">
        <v>5</v>
      </c>
      <c r="I111" s="376" t="s">
        <v>109</v>
      </c>
      <c r="J111" s="376" t="s">
        <v>155</v>
      </c>
      <c r="K111" s="376">
        <v>10</v>
      </c>
      <c r="L111" s="376" t="s">
        <v>335</v>
      </c>
    </row>
    <row r="112" spans="1:12" x14ac:dyDescent="0.25">
      <c r="A112" s="377">
        <v>45046.69817408565</v>
      </c>
      <c r="B112" s="376" t="s">
        <v>112</v>
      </c>
      <c r="C112" s="376" t="s">
        <v>104</v>
      </c>
      <c r="D112" s="376" t="s">
        <v>114</v>
      </c>
      <c r="E112" s="376" t="s">
        <v>121</v>
      </c>
      <c r="F112" s="376" t="s">
        <v>142</v>
      </c>
      <c r="G112" s="376" t="s">
        <v>108</v>
      </c>
      <c r="H112" s="376">
        <v>5</v>
      </c>
      <c r="I112" s="376" t="s">
        <v>154</v>
      </c>
      <c r="J112" s="376" t="s">
        <v>336</v>
      </c>
      <c r="K112" s="376">
        <v>9</v>
      </c>
      <c r="L112" s="376" t="s">
        <v>337</v>
      </c>
    </row>
    <row r="113" spans="1:12" x14ac:dyDescent="0.25">
      <c r="A113" s="377">
        <v>45046.807616446764</v>
      </c>
      <c r="B113" s="376" t="s">
        <v>112</v>
      </c>
      <c r="C113" s="376" t="s">
        <v>104</v>
      </c>
      <c r="D113" s="376" t="s">
        <v>114</v>
      </c>
      <c r="E113" s="376" t="s">
        <v>126</v>
      </c>
      <c r="F113" s="376" t="s">
        <v>200</v>
      </c>
      <c r="G113" s="376" t="s">
        <v>108</v>
      </c>
      <c r="H113" s="376">
        <v>5</v>
      </c>
      <c r="I113" s="376" t="s">
        <v>154</v>
      </c>
      <c r="J113" s="376" t="s">
        <v>135</v>
      </c>
      <c r="K113" s="376">
        <v>9</v>
      </c>
      <c r="L113" s="376" t="s">
        <v>176</v>
      </c>
    </row>
    <row r="114" spans="1:12" x14ac:dyDescent="0.25">
      <c r="A114" s="377">
        <v>45047.366621759254</v>
      </c>
      <c r="B114" s="376" t="s">
        <v>112</v>
      </c>
      <c r="C114" s="376" t="s">
        <v>104</v>
      </c>
      <c r="D114" s="376" t="s">
        <v>120</v>
      </c>
      <c r="E114" s="376" t="s">
        <v>260</v>
      </c>
      <c r="F114" s="376" t="s">
        <v>149</v>
      </c>
      <c r="G114" s="376" t="s">
        <v>116</v>
      </c>
      <c r="H114" s="376">
        <v>5</v>
      </c>
      <c r="I114" s="376" t="s">
        <v>117</v>
      </c>
      <c r="J114" s="376" t="s">
        <v>336</v>
      </c>
      <c r="K114" s="376">
        <v>10</v>
      </c>
      <c r="L114" s="376" t="s">
        <v>254</v>
      </c>
    </row>
    <row r="115" spans="1:12" x14ac:dyDescent="0.25">
      <c r="A115" s="377">
        <v>45047.733211307874</v>
      </c>
      <c r="B115" s="376" t="s">
        <v>103</v>
      </c>
      <c r="C115" s="376" t="s">
        <v>104</v>
      </c>
      <c r="D115" s="376" t="s">
        <v>141</v>
      </c>
      <c r="E115" s="376" t="s">
        <v>338</v>
      </c>
      <c r="F115" s="376" t="s">
        <v>229</v>
      </c>
      <c r="G115" s="376" t="s">
        <v>116</v>
      </c>
      <c r="H115" s="376">
        <v>5</v>
      </c>
      <c r="I115" s="376" t="s">
        <v>134</v>
      </c>
      <c r="J115" s="376" t="s">
        <v>118</v>
      </c>
      <c r="K115" s="376">
        <v>9</v>
      </c>
      <c r="L115" s="376" t="s">
        <v>339</v>
      </c>
    </row>
    <row r="116" spans="1:12" x14ac:dyDescent="0.25">
      <c r="A116" s="377">
        <v>45048.666109687503</v>
      </c>
      <c r="B116" s="376" t="s">
        <v>112</v>
      </c>
      <c r="C116" s="376" t="s">
        <v>113</v>
      </c>
      <c r="D116" s="376" t="s">
        <v>340</v>
      </c>
      <c r="E116" s="376" t="s">
        <v>148</v>
      </c>
      <c r="F116" s="376" t="s">
        <v>142</v>
      </c>
      <c r="G116" s="376" t="s">
        <v>108</v>
      </c>
      <c r="H116" s="376">
        <v>4</v>
      </c>
      <c r="I116" s="376" t="s">
        <v>117</v>
      </c>
      <c r="J116" s="376" t="s">
        <v>341</v>
      </c>
      <c r="K116" s="376">
        <v>8</v>
      </c>
      <c r="L116" s="376" t="s">
        <v>342</v>
      </c>
    </row>
    <row r="117" spans="1:12" x14ac:dyDescent="0.25">
      <c r="A117" s="377">
        <v>45049.456846087967</v>
      </c>
      <c r="B117" s="376" t="s">
        <v>103</v>
      </c>
      <c r="C117" s="376" t="s">
        <v>104</v>
      </c>
      <c r="D117" s="376" t="s">
        <v>120</v>
      </c>
      <c r="E117" s="376" t="s">
        <v>177</v>
      </c>
      <c r="F117" s="376" t="s">
        <v>191</v>
      </c>
      <c r="G117" s="376" t="s">
        <v>130</v>
      </c>
      <c r="H117" s="376">
        <v>5</v>
      </c>
      <c r="I117" s="376" t="s">
        <v>134</v>
      </c>
      <c r="J117" s="376" t="s">
        <v>274</v>
      </c>
      <c r="K117" s="376">
        <v>9</v>
      </c>
      <c r="L117" s="376" t="s">
        <v>343</v>
      </c>
    </row>
    <row r="118" spans="1:12" x14ac:dyDescent="0.25">
      <c r="A118" s="377">
        <v>45049.662000856479</v>
      </c>
      <c r="B118" s="376" t="s">
        <v>103</v>
      </c>
      <c r="C118" s="376" t="s">
        <v>104</v>
      </c>
      <c r="D118" s="376" t="s">
        <v>344</v>
      </c>
      <c r="E118" s="376" t="s">
        <v>177</v>
      </c>
      <c r="F118" s="376" t="s">
        <v>200</v>
      </c>
      <c r="G118" s="376" t="s">
        <v>201</v>
      </c>
      <c r="H118" s="376">
        <v>4</v>
      </c>
      <c r="I118" s="376" t="s">
        <v>154</v>
      </c>
      <c r="J118" s="376" t="s">
        <v>345</v>
      </c>
      <c r="K118" s="376">
        <v>8</v>
      </c>
      <c r="L118" s="376" t="s">
        <v>346</v>
      </c>
    </row>
    <row r="119" spans="1:12" x14ac:dyDescent="0.25">
      <c r="A119" s="377">
        <v>45054.38628244213</v>
      </c>
      <c r="B119" s="376" t="s">
        <v>112</v>
      </c>
      <c r="C119" s="376" t="s">
        <v>113</v>
      </c>
      <c r="D119" s="376" t="s">
        <v>120</v>
      </c>
      <c r="E119" s="376" t="s">
        <v>126</v>
      </c>
      <c r="F119" s="376" t="s">
        <v>122</v>
      </c>
      <c r="G119" s="376" t="s">
        <v>130</v>
      </c>
      <c r="H119" s="376">
        <v>5</v>
      </c>
      <c r="I119" s="376" t="s">
        <v>167</v>
      </c>
      <c r="J119" s="376" t="s">
        <v>202</v>
      </c>
      <c r="K119" s="376">
        <v>10</v>
      </c>
      <c r="L119" s="376" t="s">
        <v>347</v>
      </c>
    </row>
    <row r="120" spans="1:12" x14ac:dyDescent="0.25">
      <c r="A120" s="377">
        <v>45054.50472837963</v>
      </c>
      <c r="B120" s="376" t="s">
        <v>112</v>
      </c>
      <c r="C120" s="376" t="s">
        <v>161</v>
      </c>
      <c r="D120" s="376" t="s">
        <v>184</v>
      </c>
      <c r="E120" s="376" t="s">
        <v>126</v>
      </c>
      <c r="F120" s="376" t="s">
        <v>115</v>
      </c>
      <c r="G120" s="376" t="s">
        <v>116</v>
      </c>
      <c r="H120" s="376">
        <v>4</v>
      </c>
      <c r="I120" s="376" t="s">
        <v>134</v>
      </c>
      <c r="J120" s="376" t="s">
        <v>155</v>
      </c>
      <c r="K120" s="376">
        <v>9</v>
      </c>
      <c r="L120" s="376" t="s">
        <v>348</v>
      </c>
    </row>
    <row r="121" spans="1:12" x14ac:dyDescent="0.25">
      <c r="A121" s="377">
        <v>45054.632033009257</v>
      </c>
      <c r="B121" s="376" t="s">
        <v>103</v>
      </c>
      <c r="C121" s="376" t="s">
        <v>113</v>
      </c>
      <c r="D121" s="376" t="s">
        <v>344</v>
      </c>
      <c r="E121" s="376" t="s">
        <v>126</v>
      </c>
      <c r="F121" s="376" t="s">
        <v>349</v>
      </c>
      <c r="G121" s="376" t="s">
        <v>130</v>
      </c>
      <c r="H121" s="376">
        <v>5</v>
      </c>
      <c r="I121" s="376" t="s">
        <v>131</v>
      </c>
      <c r="J121" s="376" t="s">
        <v>202</v>
      </c>
      <c r="K121" s="376">
        <v>9</v>
      </c>
      <c r="L121" s="376" t="s">
        <v>350</v>
      </c>
    </row>
    <row r="122" spans="1:12" x14ac:dyDescent="0.25">
      <c r="A122" s="377">
        <v>45054.834789166664</v>
      </c>
      <c r="B122" s="376" t="s">
        <v>103</v>
      </c>
      <c r="C122" s="376" t="s">
        <v>113</v>
      </c>
      <c r="D122" s="376" t="s">
        <v>344</v>
      </c>
      <c r="E122" s="376" t="s">
        <v>126</v>
      </c>
      <c r="F122" s="376" t="s">
        <v>349</v>
      </c>
      <c r="G122" s="376" t="s">
        <v>130</v>
      </c>
      <c r="H122" s="376">
        <v>5</v>
      </c>
      <c r="I122" s="376" t="s">
        <v>131</v>
      </c>
      <c r="J122" s="376" t="s">
        <v>202</v>
      </c>
      <c r="K122" s="376">
        <v>9</v>
      </c>
      <c r="L122" s="376" t="s">
        <v>351</v>
      </c>
    </row>
    <row r="123" spans="1:12" x14ac:dyDescent="0.25">
      <c r="A123" s="377">
        <v>45054.89015334491</v>
      </c>
      <c r="B123" s="376" t="s">
        <v>103</v>
      </c>
      <c r="C123" s="376" t="s">
        <v>113</v>
      </c>
      <c r="D123" s="376" t="s">
        <v>141</v>
      </c>
      <c r="E123" s="376" t="s">
        <v>352</v>
      </c>
      <c r="F123" s="376" t="s">
        <v>138</v>
      </c>
      <c r="G123" s="376" t="s">
        <v>194</v>
      </c>
      <c r="H123" s="376">
        <v>5</v>
      </c>
      <c r="I123" s="376" t="s">
        <v>109</v>
      </c>
      <c r="J123" s="376" t="s">
        <v>274</v>
      </c>
      <c r="K123" s="376">
        <v>9</v>
      </c>
      <c r="L123" s="376" t="s">
        <v>353</v>
      </c>
    </row>
    <row r="124" spans="1:12" x14ac:dyDescent="0.25">
      <c r="A124" s="377">
        <v>45061.74620381945</v>
      </c>
      <c r="B124" s="376" t="s">
        <v>112</v>
      </c>
      <c r="C124" s="376" t="s">
        <v>104</v>
      </c>
      <c r="D124" s="376" t="s">
        <v>354</v>
      </c>
      <c r="E124" s="376" t="s">
        <v>148</v>
      </c>
      <c r="F124" s="376" t="s">
        <v>107</v>
      </c>
      <c r="G124" s="376" t="s">
        <v>116</v>
      </c>
      <c r="H124" s="376">
        <v>5</v>
      </c>
      <c r="I124" s="376" t="s">
        <v>131</v>
      </c>
      <c r="J124" s="376" t="s">
        <v>172</v>
      </c>
      <c r="K124" s="376">
        <v>9</v>
      </c>
      <c r="L124" s="376" t="s">
        <v>355</v>
      </c>
    </row>
    <row r="125" spans="1:12" x14ac:dyDescent="0.25">
      <c r="A125" s="377">
        <v>45062.594931111111</v>
      </c>
      <c r="B125" s="376" t="s">
        <v>103</v>
      </c>
      <c r="C125" s="376" t="s">
        <v>161</v>
      </c>
      <c r="D125" s="376" t="s">
        <v>340</v>
      </c>
      <c r="E125" s="376" t="s">
        <v>148</v>
      </c>
      <c r="F125" s="376" t="s">
        <v>210</v>
      </c>
      <c r="G125" s="376" t="s">
        <v>356</v>
      </c>
      <c r="H125" s="376">
        <v>5</v>
      </c>
      <c r="I125" s="376" t="s">
        <v>117</v>
      </c>
      <c r="J125" s="376" t="s">
        <v>341</v>
      </c>
      <c r="K125" s="376">
        <v>9</v>
      </c>
      <c r="L125" s="376" t="s">
        <v>357</v>
      </c>
    </row>
    <row r="126" spans="1:12" x14ac:dyDescent="0.25">
      <c r="A126" s="377">
        <v>45068.662629143517</v>
      </c>
      <c r="B126" s="376" t="s">
        <v>112</v>
      </c>
      <c r="C126" s="376" t="s">
        <v>104</v>
      </c>
      <c r="D126" s="376" t="s">
        <v>120</v>
      </c>
      <c r="E126" s="376" t="s">
        <v>121</v>
      </c>
      <c r="F126" s="376" t="s">
        <v>115</v>
      </c>
      <c r="G126" s="376" t="s">
        <v>108</v>
      </c>
      <c r="H126" s="376">
        <v>4</v>
      </c>
      <c r="I126" s="376" t="s">
        <v>134</v>
      </c>
      <c r="J126" s="376" t="s">
        <v>172</v>
      </c>
      <c r="K126" s="376">
        <v>8</v>
      </c>
      <c r="L126" s="376" t="s">
        <v>358</v>
      </c>
    </row>
    <row r="127" spans="1:12" x14ac:dyDescent="0.25">
      <c r="A127" s="377">
        <v>45074.459510127315</v>
      </c>
      <c r="B127" s="376" t="s">
        <v>103</v>
      </c>
      <c r="C127" s="376" t="s">
        <v>104</v>
      </c>
      <c r="D127" s="376" t="s">
        <v>141</v>
      </c>
      <c r="E127" s="376" t="s">
        <v>146</v>
      </c>
      <c r="F127" s="376" t="s">
        <v>200</v>
      </c>
      <c r="G127" s="376" t="s">
        <v>201</v>
      </c>
      <c r="H127" s="376">
        <v>5</v>
      </c>
      <c r="I127" s="376" t="s">
        <v>154</v>
      </c>
      <c r="J127" s="376" t="s">
        <v>207</v>
      </c>
      <c r="K127" s="376">
        <v>9</v>
      </c>
      <c r="L127" s="376" t="s">
        <v>359</v>
      </c>
    </row>
    <row r="128" spans="1:12" x14ac:dyDescent="0.25">
      <c r="A128" s="377">
        <v>45074.483763645832</v>
      </c>
      <c r="B128" s="376" t="s">
        <v>103</v>
      </c>
      <c r="C128" s="376" t="s">
        <v>151</v>
      </c>
      <c r="D128" s="376" t="s">
        <v>120</v>
      </c>
      <c r="E128" s="376" t="s">
        <v>126</v>
      </c>
      <c r="F128" s="376" t="s">
        <v>115</v>
      </c>
      <c r="G128" s="376" t="s">
        <v>116</v>
      </c>
      <c r="H128" s="376">
        <v>5</v>
      </c>
      <c r="I128" s="376" t="s">
        <v>109</v>
      </c>
      <c r="J128" s="376" t="s">
        <v>202</v>
      </c>
      <c r="K128" s="376">
        <v>9</v>
      </c>
      <c r="L128" s="376" t="s">
        <v>360</v>
      </c>
    </row>
    <row r="129" spans="1:12" x14ac:dyDescent="0.25">
      <c r="A129" s="377">
        <v>45074.512026018521</v>
      </c>
      <c r="B129" s="376" t="s">
        <v>103</v>
      </c>
      <c r="C129" s="376" t="s">
        <v>113</v>
      </c>
      <c r="D129" s="376" t="s">
        <v>114</v>
      </c>
      <c r="E129" s="376" t="s">
        <v>166</v>
      </c>
      <c r="F129" s="376" t="s">
        <v>138</v>
      </c>
      <c r="G129" s="376" t="s">
        <v>116</v>
      </c>
      <c r="H129" s="376">
        <v>4</v>
      </c>
      <c r="I129" s="376" t="s">
        <v>273</v>
      </c>
      <c r="J129" s="376" t="s">
        <v>110</v>
      </c>
      <c r="K129" s="376">
        <v>9</v>
      </c>
      <c r="L129" s="376" t="s">
        <v>361</v>
      </c>
    </row>
    <row r="130" spans="1:12" x14ac:dyDescent="0.25">
      <c r="A130" s="377">
        <v>45074.613387152778</v>
      </c>
      <c r="B130" s="376" t="s">
        <v>112</v>
      </c>
      <c r="C130" s="376" t="s">
        <v>104</v>
      </c>
      <c r="D130" s="376" t="s">
        <v>120</v>
      </c>
      <c r="E130" s="376" t="s">
        <v>362</v>
      </c>
      <c r="F130" s="376" t="s">
        <v>349</v>
      </c>
      <c r="G130" s="376" t="s">
        <v>130</v>
      </c>
      <c r="H130" s="376">
        <v>5</v>
      </c>
      <c r="I130" s="376" t="s">
        <v>109</v>
      </c>
      <c r="J130" s="376" t="s">
        <v>182</v>
      </c>
      <c r="K130" s="376">
        <v>9</v>
      </c>
      <c r="L130" s="376" t="s">
        <v>363</v>
      </c>
    </row>
    <row r="131" spans="1:12" x14ac:dyDescent="0.25">
      <c r="A131" s="377">
        <v>45074.733957962962</v>
      </c>
      <c r="B131" s="376" t="s">
        <v>112</v>
      </c>
      <c r="C131" s="376" t="s">
        <v>104</v>
      </c>
      <c r="D131" s="376" t="s">
        <v>141</v>
      </c>
      <c r="E131" s="376" t="s">
        <v>364</v>
      </c>
      <c r="F131" s="376" t="s">
        <v>149</v>
      </c>
      <c r="G131" s="376" t="s">
        <v>116</v>
      </c>
      <c r="H131" s="376">
        <v>5</v>
      </c>
      <c r="I131" s="376" t="s">
        <v>134</v>
      </c>
      <c r="J131" s="376" t="s">
        <v>172</v>
      </c>
      <c r="K131" s="376">
        <v>10</v>
      </c>
      <c r="L131" s="376" t="s">
        <v>365</v>
      </c>
    </row>
    <row r="132" spans="1:12" x14ac:dyDescent="0.25">
      <c r="A132" s="377">
        <v>45075.481703993057</v>
      </c>
      <c r="B132" s="376" t="s">
        <v>103</v>
      </c>
      <c r="C132" s="376" t="s">
        <v>161</v>
      </c>
      <c r="D132" s="376" t="s">
        <v>340</v>
      </c>
      <c r="E132" s="376" t="s">
        <v>126</v>
      </c>
      <c r="F132" s="376" t="s">
        <v>122</v>
      </c>
      <c r="G132" s="376" t="s">
        <v>123</v>
      </c>
      <c r="H132" s="376">
        <v>4</v>
      </c>
      <c r="I132" s="376" t="s">
        <v>167</v>
      </c>
      <c r="J132" s="376" t="s">
        <v>127</v>
      </c>
      <c r="K132" s="376">
        <v>8</v>
      </c>
      <c r="L132" s="376" t="s">
        <v>366</v>
      </c>
    </row>
    <row r="133" spans="1:12" x14ac:dyDescent="0.25">
      <c r="A133" s="377">
        <v>45077.499428182869</v>
      </c>
      <c r="B133" s="376" t="s">
        <v>112</v>
      </c>
      <c r="C133" s="376" t="s">
        <v>161</v>
      </c>
      <c r="D133" s="376" t="s">
        <v>141</v>
      </c>
      <c r="E133" s="376" t="s">
        <v>121</v>
      </c>
      <c r="F133" s="376" t="s">
        <v>149</v>
      </c>
      <c r="G133" s="376" t="s">
        <v>116</v>
      </c>
      <c r="H133" s="376">
        <v>5</v>
      </c>
      <c r="I133" s="376" t="s">
        <v>154</v>
      </c>
      <c r="J133" s="376" t="s">
        <v>367</v>
      </c>
      <c r="K133" s="376">
        <v>9</v>
      </c>
      <c r="L133" s="376" t="s">
        <v>368</v>
      </c>
    </row>
    <row r="134" spans="1:12" x14ac:dyDescent="0.25">
      <c r="A134" s="377">
        <v>45081.395383136572</v>
      </c>
      <c r="B134" s="376" t="s">
        <v>103</v>
      </c>
      <c r="C134" s="376" t="s">
        <v>113</v>
      </c>
      <c r="D134" s="376" t="s">
        <v>120</v>
      </c>
      <c r="E134" s="376" t="s">
        <v>126</v>
      </c>
      <c r="F134" s="376" t="s">
        <v>185</v>
      </c>
      <c r="G134" s="376" t="s">
        <v>130</v>
      </c>
      <c r="H134" s="376">
        <v>4</v>
      </c>
      <c r="I134" s="376" t="s">
        <v>134</v>
      </c>
      <c r="J134" s="376" t="s">
        <v>341</v>
      </c>
      <c r="K134" s="376">
        <v>8</v>
      </c>
      <c r="L134" s="376" t="s">
        <v>369</v>
      </c>
    </row>
    <row r="135" spans="1:12" x14ac:dyDescent="0.25">
      <c r="A135" s="377">
        <v>45081.441007928239</v>
      </c>
      <c r="B135" s="376" t="s">
        <v>103</v>
      </c>
      <c r="C135" s="376" t="s">
        <v>104</v>
      </c>
      <c r="D135" s="376" t="s">
        <v>120</v>
      </c>
      <c r="E135" s="376" t="s">
        <v>146</v>
      </c>
      <c r="F135" s="376" t="s">
        <v>247</v>
      </c>
      <c r="G135" s="376" t="s">
        <v>130</v>
      </c>
      <c r="H135" s="376">
        <v>5</v>
      </c>
      <c r="I135" s="376" t="s">
        <v>134</v>
      </c>
      <c r="J135" s="376" t="s">
        <v>180</v>
      </c>
      <c r="K135" s="376">
        <v>9</v>
      </c>
      <c r="L135" s="376" t="s">
        <v>370</v>
      </c>
    </row>
    <row r="136" spans="1:12" x14ac:dyDescent="0.25">
      <c r="A136" s="377">
        <v>45081.595645775466</v>
      </c>
      <c r="B136" s="376" t="s">
        <v>112</v>
      </c>
      <c r="C136" s="376" t="s">
        <v>113</v>
      </c>
      <c r="D136" s="376" t="s">
        <v>105</v>
      </c>
      <c r="E136" s="376" t="s">
        <v>170</v>
      </c>
      <c r="F136" s="376" t="s">
        <v>138</v>
      </c>
      <c r="G136" s="376" t="s">
        <v>194</v>
      </c>
      <c r="H136" s="376">
        <v>5</v>
      </c>
      <c r="I136" s="376" t="s">
        <v>167</v>
      </c>
      <c r="J136" s="376" t="s">
        <v>371</v>
      </c>
      <c r="K136" s="376">
        <v>9</v>
      </c>
      <c r="L136" s="376" t="s">
        <v>372</v>
      </c>
    </row>
    <row r="137" spans="1:12" x14ac:dyDescent="0.25">
      <c r="A137" s="377">
        <v>45081.759958645838</v>
      </c>
      <c r="B137" s="376" t="s">
        <v>103</v>
      </c>
      <c r="C137" s="376" t="s">
        <v>104</v>
      </c>
      <c r="D137" s="376" t="s">
        <v>120</v>
      </c>
      <c r="E137" s="376" t="s">
        <v>126</v>
      </c>
      <c r="F137" s="376" t="s">
        <v>115</v>
      </c>
      <c r="G137" s="376" t="s">
        <v>108</v>
      </c>
      <c r="H137" s="376">
        <v>5</v>
      </c>
      <c r="I137" s="376" t="s">
        <v>109</v>
      </c>
      <c r="J137" s="376" t="s">
        <v>172</v>
      </c>
      <c r="K137" s="376">
        <v>10</v>
      </c>
      <c r="L137" s="376" t="s">
        <v>373</v>
      </c>
    </row>
    <row r="138" spans="1:12" x14ac:dyDescent="0.25">
      <c r="A138" s="377">
        <v>45081.865451574078</v>
      </c>
      <c r="B138" s="376" t="s">
        <v>112</v>
      </c>
      <c r="C138" s="376" t="s">
        <v>161</v>
      </c>
      <c r="D138" s="376" t="s">
        <v>141</v>
      </c>
      <c r="E138" s="376" t="s">
        <v>374</v>
      </c>
      <c r="F138" s="376" t="s">
        <v>375</v>
      </c>
      <c r="G138" s="376" t="s">
        <v>143</v>
      </c>
      <c r="H138" s="376">
        <v>4</v>
      </c>
      <c r="I138" s="376" t="s">
        <v>134</v>
      </c>
      <c r="J138" s="376" t="s">
        <v>172</v>
      </c>
      <c r="K138" s="376">
        <v>6</v>
      </c>
      <c r="L138" s="376" t="s">
        <v>376</v>
      </c>
    </row>
    <row r="139" spans="1:12" x14ac:dyDescent="0.25">
      <c r="A139" s="377">
        <v>45082.607342789357</v>
      </c>
      <c r="B139" s="376" t="s">
        <v>103</v>
      </c>
      <c r="C139" s="376" t="s">
        <v>113</v>
      </c>
      <c r="D139" s="376" t="s">
        <v>120</v>
      </c>
      <c r="E139" s="376" t="s">
        <v>126</v>
      </c>
      <c r="F139" s="376" t="s">
        <v>377</v>
      </c>
      <c r="G139" s="376" t="s">
        <v>130</v>
      </c>
      <c r="H139" s="376">
        <v>4</v>
      </c>
      <c r="I139" s="376" t="s">
        <v>117</v>
      </c>
      <c r="J139" s="376" t="s">
        <v>127</v>
      </c>
      <c r="K139" s="376">
        <v>8</v>
      </c>
      <c r="L139" s="376" t="s">
        <v>378</v>
      </c>
    </row>
    <row r="140" spans="1:12" x14ac:dyDescent="0.25">
      <c r="A140" s="377">
        <v>45082.638079756944</v>
      </c>
      <c r="B140" s="376" t="s">
        <v>112</v>
      </c>
      <c r="C140" s="376" t="s">
        <v>161</v>
      </c>
      <c r="D140" s="376" t="s">
        <v>184</v>
      </c>
      <c r="E140" s="376" t="s">
        <v>177</v>
      </c>
      <c r="F140" s="376" t="s">
        <v>210</v>
      </c>
      <c r="G140" s="376" t="s">
        <v>116</v>
      </c>
      <c r="H140" s="376">
        <v>5</v>
      </c>
      <c r="I140" s="376" t="s">
        <v>134</v>
      </c>
      <c r="J140" s="376" t="s">
        <v>135</v>
      </c>
      <c r="K140" s="376">
        <v>10</v>
      </c>
      <c r="L140" s="376" t="s">
        <v>379</v>
      </c>
    </row>
    <row r="141" spans="1:12" x14ac:dyDescent="0.25">
      <c r="A141" s="377">
        <v>45085.607482476851</v>
      </c>
      <c r="B141" s="376" t="s">
        <v>103</v>
      </c>
      <c r="C141" s="376" t="s">
        <v>104</v>
      </c>
      <c r="D141" s="376" t="s">
        <v>120</v>
      </c>
      <c r="E141" s="376" t="s">
        <v>146</v>
      </c>
      <c r="F141" s="376" t="s">
        <v>149</v>
      </c>
      <c r="G141" s="376" t="s">
        <v>130</v>
      </c>
      <c r="H141" s="376">
        <v>5</v>
      </c>
      <c r="I141" s="376" t="s">
        <v>109</v>
      </c>
      <c r="J141" s="376" t="s">
        <v>168</v>
      </c>
      <c r="K141" s="376">
        <v>10</v>
      </c>
      <c r="L141" s="376" t="s">
        <v>358</v>
      </c>
    </row>
    <row r="142" spans="1:12" x14ac:dyDescent="0.25">
      <c r="A142" s="377">
        <v>45088.525012835649</v>
      </c>
      <c r="B142" s="376" t="s">
        <v>112</v>
      </c>
      <c r="C142" s="376" t="s">
        <v>113</v>
      </c>
      <c r="D142" s="376" t="s">
        <v>141</v>
      </c>
      <c r="E142" s="376" t="s">
        <v>133</v>
      </c>
      <c r="F142" s="376" t="s">
        <v>149</v>
      </c>
      <c r="G142" s="376" t="s">
        <v>116</v>
      </c>
      <c r="H142" s="376">
        <v>5</v>
      </c>
      <c r="I142" s="376" t="s">
        <v>109</v>
      </c>
      <c r="J142" s="376" t="s">
        <v>127</v>
      </c>
      <c r="K142" s="376">
        <v>10</v>
      </c>
      <c r="L142" s="376" t="s">
        <v>380</v>
      </c>
    </row>
    <row r="143" spans="1:12" x14ac:dyDescent="0.25">
      <c r="A143" s="377">
        <v>45088.614422858795</v>
      </c>
      <c r="B143" s="376" t="s">
        <v>103</v>
      </c>
      <c r="C143" s="376" t="s">
        <v>104</v>
      </c>
      <c r="D143" s="376" t="s">
        <v>114</v>
      </c>
      <c r="E143" s="376" t="s">
        <v>126</v>
      </c>
      <c r="F143" s="376" t="s">
        <v>381</v>
      </c>
      <c r="G143" s="376" t="s">
        <v>116</v>
      </c>
      <c r="H143" s="376">
        <v>5</v>
      </c>
      <c r="I143" s="376" t="s">
        <v>277</v>
      </c>
      <c r="J143" s="376" t="s">
        <v>127</v>
      </c>
      <c r="K143" s="376">
        <v>9</v>
      </c>
      <c r="L143" s="376" t="s">
        <v>382</v>
      </c>
    </row>
    <row r="144" spans="1:12" x14ac:dyDescent="0.25">
      <c r="A144" s="377">
        <v>45088.874956030093</v>
      </c>
      <c r="B144" s="376" t="s">
        <v>112</v>
      </c>
      <c r="C144" s="376" t="s">
        <v>151</v>
      </c>
      <c r="D144" s="376" t="s">
        <v>383</v>
      </c>
      <c r="E144" s="376" t="s">
        <v>292</v>
      </c>
      <c r="F144" s="376" t="s">
        <v>142</v>
      </c>
      <c r="G144" s="376" t="s">
        <v>384</v>
      </c>
      <c r="H144" s="376">
        <v>4</v>
      </c>
      <c r="I144" s="376" t="s">
        <v>109</v>
      </c>
      <c r="J144" s="376" t="s">
        <v>202</v>
      </c>
      <c r="K144" s="376">
        <v>9</v>
      </c>
      <c r="L144" s="376" t="s">
        <v>385</v>
      </c>
    </row>
    <row r="145" spans="1:12" x14ac:dyDescent="0.25">
      <c r="A145" s="377">
        <v>45089.756273344909</v>
      </c>
      <c r="B145" s="376" t="s">
        <v>103</v>
      </c>
      <c r="C145" s="376" t="s">
        <v>104</v>
      </c>
      <c r="D145" s="376" t="s">
        <v>120</v>
      </c>
      <c r="E145" s="376" t="s">
        <v>177</v>
      </c>
      <c r="F145" s="376" t="s">
        <v>107</v>
      </c>
      <c r="G145" s="376" t="s">
        <v>116</v>
      </c>
      <c r="H145" s="376">
        <v>4</v>
      </c>
      <c r="I145" s="376" t="s">
        <v>386</v>
      </c>
      <c r="J145" s="376" t="s">
        <v>202</v>
      </c>
      <c r="K145" s="376">
        <v>8</v>
      </c>
      <c r="L145" s="376" t="s">
        <v>387</v>
      </c>
    </row>
    <row r="146" spans="1:12" x14ac:dyDescent="0.25">
      <c r="A146" s="377">
        <v>45095.451218032409</v>
      </c>
      <c r="B146" s="376" t="s">
        <v>112</v>
      </c>
      <c r="C146" s="376" t="s">
        <v>151</v>
      </c>
      <c r="D146" s="376" t="s">
        <v>141</v>
      </c>
      <c r="E146" s="376" t="s">
        <v>121</v>
      </c>
      <c r="F146" s="376" t="s">
        <v>115</v>
      </c>
      <c r="G146" s="376" t="s">
        <v>143</v>
      </c>
      <c r="H146" s="376">
        <v>5</v>
      </c>
      <c r="I146" s="376" t="s">
        <v>109</v>
      </c>
      <c r="J146" s="376" t="s">
        <v>172</v>
      </c>
      <c r="K146" s="376">
        <v>10</v>
      </c>
      <c r="L146" s="376" t="s">
        <v>233</v>
      </c>
    </row>
    <row r="147" spans="1:12" x14ac:dyDescent="0.25">
      <c r="A147" s="377">
        <v>45095.454696273147</v>
      </c>
      <c r="B147" s="376" t="s">
        <v>103</v>
      </c>
      <c r="C147" s="376" t="s">
        <v>151</v>
      </c>
      <c r="D147" s="376" t="s">
        <v>120</v>
      </c>
      <c r="E147" s="376" t="s">
        <v>388</v>
      </c>
      <c r="F147" s="376" t="s">
        <v>149</v>
      </c>
      <c r="G147" s="376" t="s">
        <v>116</v>
      </c>
      <c r="H147" s="376">
        <v>5</v>
      </c>
      <c r="I147" s="376" t="s">
        <v>154</v>
      </c>
      <c r="J147" s="376" t="s">
        <v>135</v>
      </c>
      <c r="K147" s="376">
        <v>9</v>
      </c>
      <c r="L147" s="376" t="s">
        <v>389</v>
      </c>
    </row>
    <row r="148" spans="1:12" x14ac:dyDescent="0.25">
      <c r="A148" s="377">
        <v>45095.589541851848</v>
      </c>
      <c r="B148" s="376" t="s">
        <v>103</v>
      </c>
      <c r="C148" s="376" t="s">
        <v>113</v>
      </c>
      <c r="D148" s="376" t="s">
        <v>120</v>
      </c>
      <c r="E148" s="376" t="s">
        <v>133</v>
      </c>
      <c r="F148" s="376" t="s">
        <v>142</v>
      </c>
      <c r="G148" s="376" t="s">
        <v>143</v>
      </c>
      <c r="H148" s="376">
        <v>5</v>
      </c>
      <c r="I148" s="376" t="s">
        <v>277</v>
      </c>
      <c r="J148" s="376" t="s">
        <v>172</v>
      </c>
      <c r="K148" s="376">
        <v>10</v>
      </c>
      <c r="L148" s="376" t="s">
        <v>390</v>
      </c>
    </row>
    <row r="149" spans="1:12" x14ac:dyDescent="0.25">
      <c r="A149" s="377">
        <v>45095.72907533565</v>
      </c>
      <c r="B149" s="376" t="s">
        <v>103</v>
      </c>
      <c r="C149" s="376" t="s">
        <v>151</v>
      </c>
      <c r="D149" s="376" t="s">
        <v>120</v>
      </c>
      <c r="E149" s="376" t="s">
        <v>126</v>
      </c>
      <c r="F149" s="376" t="s">
        <v>115</v>
      </c>
      <c r="G149" s="376" t="s">
        <v>116</v>
      </c>
      <c r="H149" s="376">
        <v>4</v>
      </c>
      <c r="I149" s="376" t="s">
        <v>109</v>
      </c>
      <c r="J149" s="376" t="s">
        <v>207</v>
      </c>
      <c r="K149" s="376">
        <v>8</v>
      </c>
      <c r="L149" s="376" t="s">
        <v>391</v>
      </c>
    </row>
    <row r="150" spans="1:12" x14ac:dyDescent="0.25">
      <c r="A150" s="377">
        <v>45096.485092581017</v>
      </c>
      <c r="B150" s="376" t="s">
        <v>103</v>
      </c>
      <c r="C150" s="376" t="s">
        <v>151</v>
      </c>
      <c r="D150" s="376" t="s">
        <v>141</v>
      </c>
      <c r="E150" s="376" t="s">
        <v>148</v>
      </c>
      <c r="F150" s="376" t="s">
        <v>138</v>
      </c>
      <c r="G150" s="376" t="s">
        <v>116</v>
      </c>
      <c r="H150" s="376">
        <v>4</v>
      </c>
      <c r="I150" s="376" t="s">
        <v>154</v>
      </c>
      <c r="J150" s="376" t="s">
        <v>207</v>
      </c>
      <c r="K150" s="376">
        <v>8</v>
      </c>
      <c r="L150" s="376" t="s">
        <v>392</v>
      </c>
    </row>
    <row r="151" spans="1:12" x14ac:dyDescent="0.25">
      <c r="A151" s="377">
        <v>45096.530356979165</v>
      </c>
      <c r="B151" s="376" t="s">
        <v>112</v>
      </c>
      <c r="C151" s="376" t="s">
        <v>104</v>
      </c>
      <c r="D151" s="376" t="s">
        <v>141</v>
      </c>
      <c r="E151" s="376" t="s">
        <v>393</v>
      </c>
      <c r="F151" s="376" t="s">
        <v>138</v>
      </c>
      <c r="G151" s="376" t="s">
        <v>394</v>
      </c>
      <c r="H151" s="376">
        <v>5</v>
      </c>
      <c r="I151" s="376" t="s">
        <v>109</v>
      </c>
      <c r="J151" s="376" t="s">
        <v>395</v>
      </c>
      <c r="K151" s="376">
        <v>10</v>
      </c>
      <c r="L151" s="376" t="s">
        <v>396</v>
      </c>
    </row>
    <row r="152" spans="1:12" x14ac:dyDescent="0.25">
      <c r="A152" s="377">
        <v>45096.601808981482</v>
      </c>
      <c r="B152" s="376" t="s">
        <v>103</v>
      </c>
      <c r="C152" s="376" t="s">
        <v>151</v>
      </c>
      <c r="D152" s="376" t="s">
        <v>141</v>
      </c>
      <c r="E152" s="376" t="s">
        <v>126</v>
      </c>
      <c r="F152" s="376" t="s">
        <v>200</v>
      </c>
      <c r="G152" s="376" t="s">
        <v>196</v>
      </c>
      <c r="H152" s="376">
        <v>5</v>
      </c>
      <c r="I152" s="376" t="s">
        <v>109</v>
      </c>
      <c r="J152" s="376" t="s">
        <v>118</v>
      </c>
      <c r="K152" s="376">
        <v>9</v>
      </c>
      <c r="L152" s="376" t="s">
        <v>397</v>
      </c>
    </row>
    <row r="153" spans="1:12" x14ac:dyDescent="0.25">
      <c r="A153" s="377">
        <v>45102.611090266204</v>
      </c>
      <c r="B153" s="376" t="s">
        <v>103</v>
      </c>
      <c r="C153" s="376" t="s">
        <v>113</v>
      </c>
      <c r="D153" s="376" t="s">
        <v>120</v>
      </c>
      <c r="E153" s="376" t="s">
        <v>146</v>
      </c>
      <c r="F153" s="376" t="s">
        <v>107</v>
      </c>
      <c r="G153" s="376" t="s">
        <v>116</v>
      </c>
      <c r="H153" s="376">
        <v>4</v>
      </c>
      <c r="I153" s="376" t="s">
        <v>154</v>
      </c>
      <c r="J153" s="376" t="s">
        <v>168</v>
      </c>
      <c r="K153" s="376">
        <v>8</v>
      </c>
      <c r="L153" s="376" t="s">
        <v>398</v>
      </c>
    </row>
    <row r="154" spans="1:12" x14ac:dyDescent="0.25">
      <c r="A154" s="377">
        <v>45102.62208001157</v>
      </c>
      <c r="B154" s="376" t="s">
        <v>103</v>
      </c>
      <c r="C154" s="376" t="s">
        <v>113</v>
      </c>
      <c r="D154" s="376" t="s">
        <v>246</v>
      </c>
      <c r="E154" s="376" t="s">
        <v>148</v>
      </c>
      <c r="F154" s="376" t="s">
        <v>115</v>
      </c>
      <c r="G154" s="376" t="s">
        <v>116</v>
      </c>
      <c r="H154" s="376">
        <v>4</v>
      </c>
      <c r="I154" s="376" t="s">
        <v>134</v>
      </c>
      <c r="J154" s="376" t="s">
        <v>127</v>
      </c>
      <c r="K154" s="376">
        <v>8</v>
      </c>
      <c r="L154" s="376" t="s">
        <v>399</v>
      </c>
    </row>
    <row r="155" spans="1:12" x14ac:dyDescent="0.25">
      <c r="A155" s="377">
        <v>45102.811280787035</v>
      </c>
      <c r="B155" s="376" t="s">
        <v>112</v>
      </c>
      <c r="C155" s="376" t="s">
        <v>104</v>
      </c>
      <c r="D155" s="376" t="s">
        <v>141</v>
      </c>
      <c r="E155" s="376" t="s">
        <v>228</v>
      </c>
      <c r="F155" s="376" t="s">
        <v>115</v>
      </c>
      <c r="G155" s="376" t="s">
        <v>108</v>
      </c>
      <c r="H155" s="376">
        <v>5</v>
      </c>
      <c r="I155" s="376" t="s">
        <v>117</v>
      </c>
      <c r="J155" s="376" t="s">
        <v>274</v>
      </c>
      <c r="K155" s="376">
        <v>9</v>
      </c>
      <c r="L155" s="376" t="s">
        <v>400</v>
      </c>
    </row>
    <row r="156" spans="1:12" x14ac:dyDescent="0.25">
      <c r="A156" s="377">
        <v>45102.850250902775</v>
      </c>
      <c r="B156" s="376" t="s">
        <v>103</v>
      </c>
      <c r="C156" s="376" t="s">
        <v>113</v>
      </c>
      <c r="D156" s="376" t="s">
        <v>114</v>
      </c>
      <c r="E156" s="376" t="s">
        <v>286</v>
      </c>
      <c r="F156" s="376" t="s">
        <v>115</v>
      </c>
      <c r="G156" s="376" t="s">
        <v>116</v>
      </c>
      <c r="H156" s="376">
        <v>5</v>
      </c>
      <c r="I156" s="376" t="s">
        <v>109</v>
      </c>
      <c r="J156" s="376" t="s">
        <v>118</v>
      </c>
      <c r="K156" s="376">
        <v>10</v>
      </c>
      <c r="L156" s="376" t="s">
        <v>401</v>
      </c>
    </row>
    <row r="157" spans="1:12" x14ac:dyDescent="0.25">
      <c r="A157" s="377">
        <v>45102.861704918978</v>
      </c>
      <c r="B157" s="376" t="s">
        <v>103</v>
      </c>
      <c r="C157" s="376" t="s">
        <v>151</v>
      </c>
      <c r="D157" s="376" t="s">
        <v>246</v>
      </c>
      <c r="E157" s="376" t="s">
        <v>148</v>
      </c>
      <c r="F157" s="376" t="s">
        <v>107</v>
      </c>
      <c r="G157" s="376" t="s">
        <v>108</v>
      </c>
      <c r="H157" s="376">
        <v>5</v>
      </c>
      <c r="I157" s="376" t="s">
        <v>117</v>
      </c>
      <c r="J157" s="376" t="s">
        <v>172</v>
      </c>
      <c r="K157" s="376">
        <v>10</v>
      </c>
      <c r="L157" s="376" t="s">
        <v>402</v>
      </c>
    </row>
    <row r="158" spans="1:12" x14ac:dyDescent="0.25">
      <c r="A158" s="377">
        <v>45103.360452291672</v>
      </c>
      <c r="B158" s="376" t="s">
        <v>103</v>
      </c>
      <c r="C158" s="376" t="s">
        <v>151</v>
      </c>
      <c r="D158" s="376" t="s">
        <v>184</v>
      </c>
      <c r="E158" s="376" t="s">
        <v>148</v>
      </c>
      <c r="F158" s="376" t="s">
        <v>142</v>
      </c>
      <c r="G158" s="376" t="s">
        <v>108</v>
      </c>
      <c r="H158" s="376">
        <v>5</v>
      </c>
      <c r="I158" s="376" t="s">
        <v>117</v>
      </c>
      <c r="J158" s="376" t="s">
        <v>127</v>
      </c>
      <c r="K158" s="376">
        <v>9</v>
      </c>
      <c r="L158" s="376" t="s">
        <v>403</v>
      </c>
    </row>
    <row r="159" spans="1:12" x14ac:dyDescent="0.25">
      <c r="A159" s="377">
        <v>45103.886647384265</v>
      </c>
      <c r="B159" s="376" t="s">
        <v>112</v>
      </c>
      <c r="C159" s="376" t="s">
        <v>161</v>
      </c>
      <c r="D159" s="376" t="s">
        <v>120</v>
      </c>
      <c r="E159" s="376" t="s">
        <v>133</v>
      </c>
      <c r="F159" s="376" t="s">
        <v>185</v>
      </c>
      <c r="G159" s="376" t="s">
        <v>108</v>
      </c>
      <c r="H159" s="376">
        <v>5</v>
      </c>
      <c r="I159" s="376" t="s">
        <v>277</v>
      </c>
      <c r="J159" s="376" t="s">
        <v>202</v>
      </c>
      <c r="K159" s="376">
        <v>10</v>
      </c>
      <c r="L159" s="376" t="s">
        <v>404</v>
      </c>
    </row>
    <row r="160" spans="1:12" x14ac:dyDescent="0.25">
      <c r="A160" s="377">
        <v>45105.233116030096</v>
      </c>
      <c r="B160" s="376" t="s">
        <v>103</v>
      </c>
      <c r="C160" s="376" t="s">
        <v>161</v>
      </c>
      <c r="D160" s="376" t="s">
        <v>184</v>
      </c>
      <c r="E160" s="376" t="s">
        <v>148</v>
      </c>
      <c r="F160" s="376" t="s">
        <v>107</v>
      </c>
      <c r="G160" s="376" t="s">
        <v>108</v>
      </c>
      <c r="H160" s="376">
        <v>5</v>
      </c>
      <c r="I160" s="376" t="s">
        <v>117</v>
      </c>
      <c r="J160" s="376" t="s">
        <v>182</v>
      </c>
      <c r="K160" s="376">
        <v>10</v>
      </c>
      <c r="L160" s="376" t="s">
        <v>405</v>
      </c>
    </row>
    <row r="161" spans="1:12" x14ac:dyDescent="0.25">
      <c r="A161" s="377">
        <v>45107.892955520831</v>
      </c>
      <c r="B161" s="376" t="s">
        <v>103</v>
      </c>
      <c r="C161" s="376" t="s">
        <v>104</v>
      </c>
      <c r="D161" s="376" t="s">
        <v>120</v>
      </c>
      <c r="E161" s="376" t="s">
        <v>126</v>
      </c>
      <c r="F161" s="376" t="s">
        <v>115</v>
      </c>
      <c r="G161" s="376" t="s">
        <v>116</v>
      </c>
      <c r="H161" s="376">
        <v>4</v>
      </c>
      <c r="I161" s="376" t="s">
        <v>109</v>
      </c>
      <c r="J161" s="376" t="s">
        <v>127</v>
      </c>
      <c r="K161" s="376">
        <v>7</v>
      </c>
      <c r="L161" s="376" t="s">
        <v>406</v>
      </c>
    </row>
    <row r="162" spans="1:12" x14ac:dyDescent="0.25">
      <c r="A162" s="377">
        <v>45109.562968379629</v>
      </c>
      <c r="B162" s="376" t="s">
        <v>112</v>
      </c>
      <c r="C162" s="376" t="s">
        <v>151</v>
      </c>
      <c r="D162" s="376" t="s">
        <v>114</v>
      </c>
      <c r="E162" s="376" t="s">
        <v>133</v>
      </c>
      <c r="F162" s="376" t="s">
        <v>115</v>
      </c>
      <c r="G162" s="376" t="s">
        <v>116</v>
      </c>
      <c r="H162" s="376">
        <v>5</v>
      </c>
      <c r="I162" s="376" t="s">
        <v>109</v>
      </c>
      <c r="J162" s="376" t="s">
        <v>127</v>
      </c>
      <c r="K162" s="376">
        <v>10</v>
      </c>
      <c r="L162" s="376" t="s">
        <v>407</v>
      </c>
    </row>
    <row r="163" spans="1:12" x14ac:dyDescent="0.25">
      <c r="A163" s="377">
        <v>45109.578220960648</v>
      </c>
      <c r="B163" s="376" t="s">
        <v>103</v>
      </c>
      <c r="C163" s="376" t="s">
        <v>151</v>
      </c>
      <c r="D163" s="376" t="s">
        <v>408</v>
      </c>
      <c r="E163" s="376" t="s">
        <v>409</v>
      </c>
      <c r="F163" s="376" t="s">
        <v>223</v>
      </c>
      <c r="G163" s="376" t="s">
        <v>116</v>
      </c>
      <c r="H163" s="376">
        <v>4</v>
      </c>
      <c r="I163" s="376" t="s">
        <v>386</v>
      </c>
      <c r="J163" s="376" t="s">
        <v>135</v>
      </c>
      <c r="K163" s="376">
        <v>8</v>
      </c>
      <c r="L163" s="376" t="s">
        <v>410</v>
      </c>
    </row>
    <row r="164" spans="1:12" x14ac:dyDescent="0.25">
      <c r="A164" s="377">
        <v>45109.67247420139</v>
      </c>
      <c r="B164" s="376" t="s">
        <v>112</v>
      </c>
      <c r="C164" s="376" t="s">
        <v>151</v>
      </c>
      <c r="D164" s="376" t="s">
        <v>141</v>
      </c>
      <c r="E164" s="376" t="s">
        <v>286</v>
      </c>
      <c r="F164" s="376" t="s">
        <v>149</v>
      </c>
      <c r="G164" s="376" t="s">
        <v>116</v>
      </c>
      <c r="H164" s="376">
        <v>4</v>
      </c>
      <c r="I164" s="376" t="s">
        <v>117</v>
      </c>
      <c r="J164" s="376" t="s">
        <v>118</v>
      </c>
      <c r="K164" s="376">
        <v>9</v>
      </c>
      <c r="L164" s="376" t="s">
        <v>411</v>
      </c>
    </row>
    <row r="165" spans="1:12" x14ac:dyDescent="0.25">
      <c r="A165" s="377">
        <v>45109.841156747687</v>
      </c>
      <c r="B165" s="376" t="s">
        <v>103</v>
      </c>
      <c r="C165" s="376" t="s">
        <v>113</v>
      </c>
      <c r="D165" s="376" t="s">
        <v>340</v>
      </c>
      <c r="E165" s="376" t="s">
        <v>133</v>
      </c>
      <c r="F165" s="376" t="s">
        <v>142</v>
      </c>
      <c r="G165" s="376" t="s">
        <v>116</v>
      </c>
      <c r="H165" s="376">
        <v>5</v>
      </c>
      <c r="I165" s="376" t="s">
        <v>109</v>
      </c>
      <c r="J165" s="376" t="s">
        <v>127</v>
      </c>
      <c r="K165" s="376">
        <v>10</v>
      </c>
      <c r="L165" s="376" t="s">
        <v>412</v>
      </c>
    </row>
    <row r="166" spans="1:12" x14ac:dyDescent="0.25">
      <c r="A166" s="377">
        <v>45109.859477997685</v>
      </c>
      <c r="B166" s="376" t="s">
        <v>103</v>
      </c>
      <c r="C166" s="376" t="s">
        <v>113</v>
      </c>
      <c r="D166" s="376" t="s">
        <v>120</v>
      </c>
      <c r="E166" s="376" t="s">
        <v>133</v>
      </c>
      <c r="F166" s="376" t="s">
        <v>149</v>
      </c>
      <c r="G166" s="376" t="s">
        <v>201</v>
      </c>
      <c r="H166" s="376">
        <v>3</v>
      </c>
      <c r="I166" s="376" t="s">
        <v>167</v>
      </c>
      <c r="J166" s="376" t="s">
        <v>413</v>
      </c>
      <c r="K166" s="376">
        <v>5</v>
      </c>
      <c r="L166" s="376" t="s">
        <v>414</v>
      </c>
    </row>
    <row r="167" spans="1:12" x14ac:dyDescent="0.25">
      <c r="A167" s="377">
        <v>45110.446586585647</v>
      </c>
      <c r="B167" s="376" t="s">
        <v>112</v>
      </c>
      <c r="C167" s="376" t="s">
        <v>151</v>
      </c>
      <c r="D167" s="376" t="s">
        <v>246</v>
      </c>
      <c r="E167" s="376" t="s">
        <v>415</v>
      </c>
      <c r="F167" s="376" t="s">
        <v>416</v>
      </c>
      <c r="G167" s="376" t="s">
        <v>116</v>
      </c>
      <c r="H167" s="376">
        <v>4</v>
      </c>
      <c r="I167" s="376" t="s">
        <v>117</v>
      </c>
      <c r="J167" s="376" t="s">
        <v>168</v>
      </c>
      <c r="K167" s="376">
        <v>7</v>
      </c>
      <c r="L167" s="376" t="s">
        <v>417</v>
      </c>
    </row>
    <row r="168" spans="1:12" x14ac:dyDescent="0.25">
      <c r="A168" s="377">
        <v>45111.657955150462</v>
      </c>
      <c r="B168" s="376" t="s">
        <v>112</v>
      </c>
      <c r="C168" s="376" t="s">
        <v>104</v>
      </c>
      <c r="D168" s="376" t="s">
        <v>120</v>
      </c>
      <c r="E168" s="376" t="s">
        <v>292</v>
      </c>
      <c r="F168" s="376" t="s">
        <v>115</v>
      </c>
      <c r="G168" s="376" t="s">
        <v>116</v>
      </c>
      <c r="H168" s="376">
        <v>3</v>
      </c>
      <c r="I168" s="376" t="s">
        <v>109</v>
      </c>
      <c r="J168" s="376" t="s">
        <v>418</v>
      </c>
      <c r="K168" s="376">
        <v>6</v>
      </c>
      <c r="L168" s="376" t="s">
        <v>419</v>
      </c>
    </row>
    <row r="169" spans="1:12" x14ac:dyDescent="0.25">
      <c r="A169" s="377">
        <v>45113.467498356476</v>
      </c>
      <c r="B169" s="376" t="s">
        <v>112</v>
      </c>
      <c r="C169" s="376" t="s">
        <v>151</v>
      </c>
      <c r="D169" s="376" t="s">
        <v>141</v>
      </c>
      <c r="E169" s="376" t="s">
        <v>121</v>
      </c>
      <c r="F169" s="376" t="s">
        <v>200</v>
      </c>
      <c r="G169" s="376" t="s">
        <v>201</v>
      </c>
      <c r="H169" s="376">
        <v>5</v>
      </c>
      <c r="I169" s="376" t="s">
        <v>109</v>
      </c>
      <c r="J169" s="376" t="s">
        <v>207</v>
      </c>
      <c r="K169" s="376">
        <v>8</v>
      </c>
      <c r="L169" s="376" t="s">
        <v>420</v>
      </c>
    </row>
    <row r="170" spans="1:12" x14ac:dyDescent="0.25">
      <c r="A170" s="377">
        <v>45116.701424548606</v>
      </c>
      <c r="B170" s="376" t="s">
        <v>103</v>
      </c>
      <c r="C170" s="376" t="s">
        <v>104</v>
      </c>
      <c r="D170" s="376" t="s">
        <v>421</v>
      </c>
      <c r="E170" s="376" t="s">
        <v>177</v>
      </c>
      <c r="F170" s="376" t="s">
        <v>115</v>
      </c>
      <c r="G170" s="376" t="s">
        <v>116</v>
      </c>
      <c r="H170" s="376">
        <v>5</v>
      </c>
      <c r="I170" s="376" t="s">
        <v>134</v>
      </c>
      <c r="J170" s="376" t="s">
        <v>135</v>
      </c>
      <c r="K170" s="376">
        <v>10</v>
      </c>
      <c r="L170" s="376" t="s">
        <v>422</v>
      </c>
    </row>
    <row r="171" spans="1:12" x14ac:dyDescent="0.25">
      <c r="A171" s="377">
        <v>45122.849622395835</v>
      </c>
      <c r="B171" s="376" t="s">
        <v>103</v>
      </c>
      <c r="C171" s="376" t="s">
        <v>151</v>
      </c>
      <c r="D171" s="376" t="s">
        <v>141</v>
      </c>
      <c r="E171" s="376" t="s">
        <v>121</v>
      </c>
      <c r="F171" s="376" t="s">
        <v>247</v>
      </c>
      <c r="G171" s="376" t="s">
        <v>130</v>
      </c>
      <c r="H171" s="376">
        <v>5</v>
      </c>
      <c r="I171" s="376" t="s">
        <v>109</v>
      </c>
      <c r="J171" s="376" t="s">
        <v>205</v>
      </c>
      <c r="K171" s="376">
        <v>10</v>
      </c>
      <c r="L171" s="376" t="s">
        <v>423</v>
      </c>
    </row>
    <row r="172" spans="1:12" x14ac:dyDescent="0.25">
      <c r="A172" s="377">
        <v>45123.591490659717</v>
      </c>
      <c r="B172" s="376" t="s">
        <v>103</v>
      </c>
      <c r="C172" s="376" t="s">
        <v>113</v>
      </c>
      <c r="D172" s="376" t="s">
        <v>184</v>
      </c>
      <c r="E172" s="376" t="s">
        <v>126</v>
      </c>
      <c r="F172" s="376" t="s">
        <v>185</v>
      </c>
      <c r="G172" s="376" t="s">
        <v>108</v>
      </c>
      <c r="H172" s="376">
        <v>5</v>
      </c>
      <c r="I172" s="376" t="s">
        <v>117</v>
      </c>
      <c r="J172" s="376" t="s">
        <v>182</v>
      </c>
      <c r="K172" s="376">
        <v>10</v>
      </c>
      <c r="L172" s="376" t="s">
        <v>424</v>
      </c>
    </row>
    <row r="173" spans="1:12" x14ac:dyDescent="0.25">
      <c r="A173" s="377">
        <v>45124.516919664355</v>
      </c>
      <c r="B173" s="376" t="s">
        <v>103</v>
      </c>
      <c r="C173" s="376" t="s">
        <v>113</v>
      </c>
      <c r="D173" s="376" t="s">
        <v>120</v>
      </c>
      <c r="E173" s="376" t="s">
        <v>177</v>
      </c>
      <c r="F173" s="376" t="s">
        <v>425</v>
      </c>
      <c r="G173" s="376" t="s">
        <v>116</v>
      </c>
      <c r="H173" s="376">
        <v>5</v>
      </c>
      <c r="I173" s="376" t="s">
        <v>117</v>
      </c>
      <c r="J173" s="376" t="s">
        <v>135</v>
      </c>
      <c r="K173" s="376">
        <v>9</v>
      </c>
      <c r="L173" s="376" t="s">
        <v>368</v>
      </c>
    </row>
    <row r="174" spans="1:12" x14ac:dyDescent="0.25">
      <c r="A174" s="377">
        <v>45132.57209050926</v>
      </c>
      <c r="B174" s="376" t="s">
        <v>112</v>
      </c>
      <c r="C174" s="376" t="s">
        <v>104</v>
      </c>
      <c r="D174" s="376" t="s">
        <v>344</v>
      </c>
      <c r="E174" s="376" t="s">
        <v>265</v>
      </c>
      <c r="F174" s="376" t="s">
        <v>115</v>
      </c>
      <c r="G174" s="376" t="s">
        <v>116</v>
      </c>
      <c r="H174" s="376">
        <v>5</v>
      </c>
      <c r="I174" s="376" t="s">
        <v>134</v>
      </c>
      <c r="J174" s="376" t="s">
        <v>168</v>
      </c>
      <c r="K174" s="376">
        <v>8</v>
      </c>
      <c r="L174" s="376" t="s">
        <v>426</v>
      </c>
    </row>
    <row r="175" spans="1:12" x14ac:dyDescent="0.25">
      <c r="A175" s="377">
        <v>45134.46453592593</v>
      </c>
      <c r="B175" s="376" t="s">
        <v>103</v>
      </c>
      <c r="C175" s="376" t="s">
        <v>113</v>
      </c>
      <c r="D175" s="376" t="s">
        <v>120</v>
      </c>
      <c r="E175" s="376" t="s">
        <v>133</v>
      </c>
      <c r="F175" s="376" t="s">
        <v>200</v>
      </c>
      <c r="G175" s="376" t="s">
        <v>194</v>
      </c>
      <c r="H175" s="376">
        <v>4</v>
      </c>
      <c r="I175" s="376" t="s">
        <v>273</v>
      </c>
      <c r="J175" s="376" t="s">
        <v>202</v>
      </c>
      <c r="K175" s="376">
        <v>9</v>
      </c>
      <c r="L175" s="376" t="s">
        <v>427</v>
      </c>
    </row>
    <row r="176" spans="1:12" x14ac:dyDescent="0.25">
      <c r="A176" s="377">
        <v>45143.732958900466</v>
      </c>
      <c r="B176" s="376" t="s">
        <v>112</v>
      </c>
      <c r="C176" s="376" t="s">
        <v>113</v>
      </c>
      <c r="D176" s="376" t="s">
        <v>428</v>
      </c>
      <c r="E176" s="376" t="s">
        <v>133</v>
      </c>
      <c r="F176" s="376" t="s">
        <v>115</v>
      </c>
      <c r="G176" s="376" t="s">
        <v>116</v>
      </c>
      <c r="H176" s="376">
        <v>5</v>
      </c>
      <c r="I176" s="376" t="s">
        <v>134</v>
      </c>
      <c r="J176" s="376" t="s">
        <v>207</v>
      </c>
      <c r="K176" s="376">
        <v>9</v>
      </c>
      <c r="L176" s="376" t="s">
        <v>429</v>
      </c>
    </row>
    <row r="177" spans="1:12" x14ac:dyDescent="0.25">
      <c r="A177" s="377">
        <v>45143.733542442133</v>
      </c>
      <c r="B177" s="376" t="s">
        <v>112</v>
      </c>
      <c r="C177" s="376" t="s">
        <v>151</v>
      </c>
      <c r="D177" s="376" t="s">
        <v>141</v>
      </c>
      <c r="E177" s="376" t="s">
        <v>146</v>
      </c>
      <c r="F177" s="376" t="s">
        <v>142</v>
      </c>
      <c r="G177" s="376" t="s">
        <v>201</v>
      </c>
      <c r="H177" s="376">
        <v>5</v>
      </c>
      <c r="I177" s="376" t="s">
        <v>109</v>
      </c>
      <c r="J177" s="376" t="s">
        <v>207</v>
      </c>
      <c r="K177" s="376">
        <v>10</v>
      </c>
      <c r="L177" s="376" t="s">
        <v>430</v>
      </c>
    </row>
    <row r="178" spans="1:12" x14ac:dyDescent="0.25">
      <c r="A178" s="377">
        <v>45143.741241226853</v>
      </c>
      <c r="B178" s="376" t="s">
        <v>103</v>
      </c>
      <c r="C178" s="376" t="s">
        <v>104</v>
      </c>
      <c r="D178" s="376" t="s">
        <v>105</v>
      </c>
      <c r="E178" s="376" t="s">
        <v>126</v>
      </c>
      <c r="F178" s="376" t="s">
        <v>115</v>
      </c>
      <c r="G178" s="376" t="s">
        <v>143</v>
      </c>
      <c r="H178" s="376">
        <v>5</v>
      </c>
      <c r="I178" s="376" t="s">
        <v>117</v>
      </c>
      <c r="J178" s="376" t="s">
        <v>127</v>
      </c>
      <c r="K178" s="376">
        <v>10</v>
      </c>
      <c r="L178" s="376" t="s">
        <v>176</v>
      </c>
    </row>
    <row r="179" spans="1:12" x14ac:dyDescent="0.25">
      <c r="A179" s="377">
        <v>45143.758238101851</v>
      </c>
      <c r="B179" s="376" t="s">
        <v>112</v>
      </c>
      <c r="C179" s="376" t="s">
        <v>113</v>
      </c>
      <c r="D179" s="376" t="s">
        <v>340</v>
      </c>
      <c r="E179" s="376" t="s">
        <v>126</v>
      </c>
      <c r="F179" s="376" t="s">
        <v>115</v>
      </c>
      <c r="G179" s="376" t="s">
        <v>116</v>
      </c>
      <c r="H179" s="376">
        <v>5</v>
      </c>
      <c r="I179" s="376" t="s">
        <v>109</v>
      </c>
      <c r="J179" s="376" t="s">
        <v>127</v>
      </c>
      <c r="K179" s="376">
        <v>9</v>
      </c>
      <c r="L179" s="376" t="s">
        <v>431</v>
      </c>
    </row>
    <row r="180" spans="1:12" x14ac:dyDescent="0.25">
      <c r="A180" s="377">
        <v>45143.831448171295</v>
      </c>
      <c r="B180" s="376" t="s">
        <v>112</v>
      </c>
      <c r="C180" s="376" t="s">
        <v>113</v>
      </c>
      <c r="D180" s="376" t="s">
        <v>141</v>
      </c>
      <c r="E180" s="376" t="s">
        <v>292</v>
      </c>
      <c r="F180" s="376" t="s">
        <v>115</v>
      </c>
      <c r="G180" s="376" t="s">
        <v>116</v>
      </c>
      <c r="H180" s="376">
        <v>5</v>
      </c>
      <c r="I180" s="376" t="s">
        <v>117</v>
      </c>
      <c r="J180" s="376" t="s">
        <v>207</v>
      </c>
      <c r="K180" s="376">
        <v>10</v>
      </c>
      <c r="L180" s="376" t="s">
        <v>432</v>
      </c>
    </row>
    <row r="181" spans="1:12" x14ac:dyDescent="0.25">
      <c r="A181" s="377">
        <v>45143.859846585648</v>
      </c>
      <c r="B181" s="376" t="s">
        <v>103</v>
      </c>
      <c r="C181" s="376" t="s">
        <v>104</v>
      </c>
      <c r="D181" s="376" t="s">
        <v>141</v>
      </c>
      <c r="E181" s="376" t="s">
        <v>157</v>
      </c>
      <c r="F181" s="376" t="s">
        <v>142</v>
      </c>
      <c r="G181" s="376" t="s">
        <v>143</v>
      </c>
      <c r="H181" s="376">
        <v>4</v>
      </c>
      <c r="I181" s="376" t="s">
        <v>117</v>
      </c>
      <c r="J181" s="376" t="s">
        <v>207</v>
      </c>
      <c r="K181" s="376">
        <v>8</v>
      </c>
      <c r="L181" s="376" t="s">
        <v>433</v>
      </c>
    </row>
    <row r="182" spans="1:12" x14ac:dyDescent="0.25">
      <c r="A182" s="377">
        <v>45143.915650474533</v>
      </c>
      <c r="B182" s="376" t="s">
        <v>103</v>
      </c>
      <c r="C182" s="376" t="s">
        <v>104</v>
      </c>
      <c r="D182" s="376" t="s">
        <v>184</v>
      </c>
      <c r="E182" s="376" t="s">
        <v>126</v>
      </c>
      <c r="F182" s="376" t="s">
        <v>115</v>
      </c>
      <c r="G182" s="376" t="s">
        <v>143</v>
      </c>
      <c r="H182" s="376">
        <v>5</v>
      </c>
      <c r="I182" s="376" t="s">
        <v>131</v>
      </c>
      <c r="J182" s="376" t="s">
        <v>241</v>
      </c>
      <c r="K182" s="376">
        <v>10</v>
      </c>
      <c r="L182" s="376" t="s">
        <v>434</v>
      </c>
    </row>
    <row r="183" spans="1:12" x14ac:dyDescent="0.25">
      <c r="A183" s="377">
        <v>45144.035756597223</v>
      </c>
      <c r="B183" s="376" t="s">
        <v>103</v>
      </c>
      <c r="C183" s="376" t="s">
        <v>104</v>
      </c>
      <c r="D183" s="376" t="s">
        <v>344</v>
      </c>
      <c r="E183" s="376" t="s">
        <v>146</v>
      </c>
      <c r="F183" s="376" t="s">
        <v>115</v>
      </c>
      <c r="G183" s="376" t="s">
        <v>116</v>
      </c>
      <c r="H183" s="376">
        <v>4</v>
      </c>
      <c r="I183" s="376" t="s">
        <v>117</v>
      </c>
      <c r="J183" s="376" t="s">
        <v>205</v>
      </c>
      <c r="K183" s="376">
        <v>9</v>
      </c>
      <c r="L183" s="376" t="s">
        <v>435</v>
      </c>
    </row>
    <row r="184" spans="1:12" x14ac:dyDescent="0.25">
      <c r="A184" s="377">
        <v>45144.59103200231</v>
      </c>
      <c r="B184" s="376" t="s">
        <v>103</v>
      </c>
      <c r="C184" s="376" t="s">
        <v>199</v>
      </c>
      <c r="D184" s="376" t="s">
        <v>114</v>
      </c>
      <c r="E184" s="376" t="s">
        <v>126</v>
      </c>
      <c r="F184" s="376" t="s">
        <v>210</v>
      </c>
      <c r="G184" s="376" t="s">
        <v>116</v>
      </c>
      <c r="H184" s="376">
        <v>4</v>
      </c>
      <c r="I184" s="376" t="s">
        <v>117</v>
      </c>
      <c r="J184" s="376" t="s">
        <v>436</v>
      </c>
      <c r="K184" s="376">
        <v>8</v>
      </c>
      <c r="L184" s="376" t="s">
        <v>437</v>
      </c>
    </row>
    <row r="185" spans="1:12" x14ac:dyDescent="0.25">
      <c r="A185" s="377">
        <v>45144.605720486114</v>
      </c>
      <c r="B185" s="376" t="s">
        <v>103</v>
      </c>
      <c r="C185" s="376" t="s">
        <v>104</v>
      </c>
      <c r="D185" s="376" t="s">
        <v>114</v>
      </c>
      <c r="E185" s="376" t="s">
        <v>177</v>
      </c>
      <c r="F185" s="376" t="s">
        <v>191</v>
      </c>
      <c r="G185" s="376" t="s">
        <v>130</v>
      </c>
      <c r="H185" s="376">
        <v>4</v>
      </c>
      <c r="I185" s="376" t="s">
        <v>109</v>
      </c>
      <c r="J185" s="376" t="s">
        <v>438</v>
      </c>
      <c r="K185" s="376">
        <v>9</v>
      </c>
      <c r="L185" s="376" t="s">
        <v>439</v>
      </c>
    </row>
    <row r="186" spans="1:12" x14ac:dyDescent="0.25">
      <c r="A186" s="377">
        <v>45144.717317627314</v>
      </c>
      <c r="B186" s="376" t="s">
        <v>103</v>
      </c>
      <c r="C186" s="376" t="s">
        <v>199</v>
      </c>
      <c r="D186" s="376" t="s">
        <v>141</v>
      </c>
      <c r="E186" s="376" t="s">
        <v>137</v>
      </c>
      <c r="F186" s="376" t="s">
        <v>149</v>
      </c>
      <c r="G186" s="376" t="s">
        <v>116</v>
      </c>
      <c r="H186" s="376">
        <v>5</v>
      </c>
      <c r="I186" s="376" t="s">
        <v>109</v>
      </c>
      <c r="J186" s="376" t="s">
        <v>207</v>
      </c>
      <c r="K186" s="376">
        <v>8</v>
      </c>
      <c r="L186" s="376" t="s">
        <v>440</v>
      </c>
    </row>
    <row r="187" spans="1:12" x14ac:dyDescent="0.25">
      <c r="A187" s="377">
        <v>45144.862741087964</v>
      </c>
      <c r="B187" s="376" t="s">
        <v>112</v>
      </c>
      <c r="C187" s="376" t="s">
        <v>113</v>
      </c>
      <c r="D187" s="376" t="s">
        <v>141</v>
      </c>
      <c r="E187" s="376" t="s">
        <v>133</v>
      </c>
      <c r="F187" s="376" t="s">
        <v>107</v>
      </c>
      <c r="G187" s="376" t="s">
        <v>116</v>
      </c>
      <c r="H187" s="376">
        <v>5</v>
      </c>
      <c r="I187" s="376" t="s">
        <v>117</v>
      </c>
      <c r="J187" s="376" t="s">
        <v>127</v>
      </c>
      <c r="K187" s="376">
        <v>9</v>
      </c>
      <c r="L187" s="376" t="s">
        <v>441</v>
      </c>
    </row>
    <row r="188" spans="1:12" x14ac:dyDescent="0.25">
      <c r="A188" s="377">
        <v>45145.940467893517</v>
      </c>
      <c r="B188" s="376" t="s">
        <v>103</v>
      </c>
      <c r="C188" s="376" t="s">
        <v>151</v>
      </c>
      <c r="D188" s="376" t="s">
        <v>141</v>
      </c>
      <c r="E188" s="376" t="s">
        <v>157</v>
      </c>
      <c r="F188" s="376" t="s">
        <v>200</v>
      </c>
      <c r="G188" s="376" t="s">
        <v>201</v>
      </c>
      <c r="H188" s="376">
        <v>5</v>
      </c>
      <c r="I188" s="376" t="s">
        <v>109</v>
      </c>
      <c r="J188" s="376" t="s">
        <v>202</v>
      </c>
      <c r="K188" s="376">
        <v>10</v>
      </c>
      <c r="L188" s="376" t="s">
        <v>442</v>
      </c>
    </row>
    <row r="189" spans="1:12" x14ac:dyDescent="0.25">
      <c r="A189" s="377">
        <v>45146.855726192131</v>
      </c>
      <c r="B189" s="376" t="s">
        <v>103</v>
      </c>
      <c r="C189" s="376" t="s">
        <v>104</v>
      </c>
      <c r="D189" s="376" t="s">
        <v>114</v>
      </c>
      <c r="E189" s="376" t="s">
        <v>170</v>
      </c>
      <c r="F189" s="376" t="s">
        <v>142</v>
      </c>
      <c r="G189" s="376" t="s">
        <v>143</v>
      </c>
      <c r="H189" s="376">
        <v>4</v>
      </c>
      <c r="I189" s="376" t="s">
        <v>117</v>
      </c>
      <c r="J189" s="376" t="s">
        <v>127</v>
      </c>
      <c r="K189" s="376">
        <v>8</v>
      </c>
      <c r="L189" s="376" t="s">
        <v>443</v>
      </c>
    </row>
    <row r="190" spans="1:12" x14ac:dyDescent="0.25">
      <c r="A190" s="377">
        <v>45146.895655219909</v>
      </c>
      <c r="B190" s="376" t="s">
        <v>103</v>
      </c>
      <c r="C190" s="376" t="s">
        <v>113</v>
      </c>
      <c r="D190" s="376" t="s">
        <v>141</v>
      </c>
      <c r="E190" s="376" t="s">
        <v>177</v>
      </c>
      <c r="F190" s="376" t="s">
        <v>200</v>
      </c>
      <c r="G190" s="376" t="s">
        <v>194</v>
      </c>
      <c r="H190" s="376">
        <v>4</v>
      </c>
      <c r="I190" s="376" t="s">
        <v>154</v>
      </c>
      <c r="J190" s="376" t="s">
        <v>155</v>
      </c>
      <c r="K190" s="376">
        <v>9</v>
      </c>
      <c r="L190" s="376" t="s">
        <v>444</v>
      </c>
    </row>
    <row r="191" spans="1:12" x14ac:dyDescent="0.25">
      <c r="A191" s="377">
        <v>45147.550588090278</v>
      </c>
      <c r="B191" s="376" t="s">
        <v>103</v>
      </c>
      <c r="C191" s="376" t="s">
        <v>151</v>
      </c>
      <c r="D191" s="376" t="s">
        <v>120</v>
      </c>
      <c r="E191" s="376" t="s">
        <v>121</v>
      </c>
      <c r="F191" s="376" t="s">
        <v>349</v>
      </c>
      <c r="G191" s="376" t="s">
        <v>130</v>
      </c>
      <c r="H191" s="376">
        <v>4</v>
      </c>
      <c r="I191" s="376" t="s">
        <v>154</v>
      </c>
      <c r="J191" s="376" t="s">
        <v>207</v>
      </c>
      <c r="K191" s="376">
        <v>9</v>
      </c>
      <c r="L191" s="376" t="s">
        <v>445</v>
      </c>
    </row>
    <row r="192" spans="1:12" x14ac:dyDescent="0.25">
      <c r="A192" s="377">
        <v>45147.929322685188</v>
      </c>
      <c r="B192" s="376" t="s">
        <v>112</v>
      </c>
      <c r="C192" s="376" t="s">
        <v>104</v>
      </c>
      <c r="D192" s="376" t="s">
        <v>141</v>
      </c>
      <c r="E192" s="376" t="s">
        <v>126</v>
      </c>
      <c r="F192" s="376" t="s">
        <v>349</v>
      </c>
      <c r="G192" s="376" t="s">
        <v>130</v>
      </c>
      <c r="H192" s="376">
        <v>5</v>
      </c>
      <c r="I192" s="376" t="s">
        <v>134</v>
      </c>
      <c r="J192" s="376" t="s">
        <v>274</v>
      </c>
      <c r="K192" s="376">
        <v>10</v>
      </c>
      <c r="L192" s="376" t="s">
        <v>446</v>
      </c>
    </row>
    <row r="193" spans="1:12" x14ac:dyDescent="0.25">
      <c r="A193" s="377">
        <v>45149.462881446758</v>
      </c>
      <c r="B193" s="376" t="s">
        <v>112</v>
      </c>
      <c r="C193" s="376" t="s">
        <v>113</v>
      </c>
      <c r="D193" s="376" t="s">
        <v>141</v>
      </c>
      <c r="E193" s="376" t="s">
        <v>177</v>
      </c>
      <c r="F193" s="376" t="s">
        <v>142</v>
      </c>
      <c r="G193" s="376" t="s">
        <v>116</v>
      </c>
      <c r="H193" s="376">
        <v>5</v>
      </c>
      <c r="I193" s="376" t="s">
        <v>117</v>
      </c>
      <c r="J193" s="376" t="s">
        <v>202</v>
      </c>
      <c r="K193" s="376">
        <v>9</v>
      </c>
      <c r="L193" s="376" t="s">
        <v>447</v>
      </c>
    </row>
    <row r="194" spans="1:12" x14ac:dyDescent="0.25">
      <c r="A194" s="377">
        <v>45151.60040998843</v>
      </c>
      <c r="B194" s="376" t="s">
        <v>103</v>
      </c>
      <c r="C194" s="376" t="s">
        <v>104</v>
      </c>
      <c r="D194" s="376" t="s">
        <v>114</v>
      </c>
      <c r="E194" s="376" t="s">
        <v>121</v>
      </c>
      <c r="F194" s="376" t="s">
        <v>149</v>
      </c>
      <c r="G194" s="376" t="s">
        <v>116</v>
      </c>
      <c r="H194" s="376">
        <v>5</v>
      </c>
      <c r="I194" s="376" t="s">
        <v>109</v>
      </c>
      <c r="J194" s="376" t="s">
        <v>127</v>
      </c>
      <c r="K194" s="376">
        <v>9</v>
      </c>
      <c r="L194" s="376" t="s">
        <v>448</v>
      </c>
    </row>
    <row r="195" spans="1:12" x14ac:dyDescent="0.25">
      <c r="A195" s="377">
        <v>45151.61126085648</v>
      </c>
      <c r="B195" s="376" t="s">
        <v>112</v>
      </c>
      <c r="C195" s="376" t="s">
        <v>104</v>
      </c>
      <c r="D195" s="376" t="s">
        <v>141</v>
      </c>
      <c r="E195" s="376" t="s">
        <v>126</v>
      </c>
      <c r="F195" s="376" t="s">
        <v>149</v>
      </c>
      <c r="G195" s="376" t="s">
        <v>116</v>
      </c>
      <c r="H195" s="376">
        <v>5</v>
      </c>
      <c r="I195" s="376" t="s">
        <v>109</v>
      </c>
      <c r="J195" s="376" t="s">
        <v>449</v>
      </c>
      <c r="K195" s="376">
        <v>6</v>
      </c>
      <c r="L195" s="376" t="s">
        <v>450</v>
      </c>
    </row>
    <row r="196" spans="1:12" x14ac:dyDescent="0.25">
      <c r="A196" s="377">
        <v>45151.646359155093</v>
      </c>
      <c r="B196" s="376" t="s">
        <v>103</v>
      </c>
      <c r="C196" s="376" t="s">
        <v>113</v>
      </c>
      <c r="D196" s="376" t="s">
        <v>120</v>
      </c>
      <c r="E196" s="376" t="s">
        <v>126</v>
      </c>
      <c r="F196" s="376" t="s">
        <v>185</v>
      </c>
      <c r="G196" s="376" t="s">
        <v>143</v>
      </c>
      <c r="H196" s="376">
        <v>5</v>
      </c>
      <c r="I196" s="376" t="s">
        <v>451</v>
      </c>
      <c r="J196" s="376" t="s">
        <v>182</v>
      </c>
      <c r="K196" s="376">
        <v>10</v>
      </c>
      <c r="L196" s="376" t="s">
        <v>440</v>
      </c>
    </row>
    <row r="197" spans="1:12" x14ac:dyDescent="0.25">
      <c r="A197" s="377">
        <v>45151.835314988421</v>
      </c>
      <c r="B197" s="376" t="s">
        <v>112</v>
      </c>
      <c r="C197" s="376" t="s">
        <v>104</v>
      </c>
      <c r="D197" s="376" t="s">
        <v>105</v>
      </c>
      <c r="E197" s="376" t="s">
        <v>126</v>
      </c>
      <c r="F197" s="376" t="s">
        <v>115</v>
      </c>
      <c r="G197" s="376" t="s">
        <v>116</v>
      </c>
      <c r="H197" s="376">
        <v>5</v>
      </c>
      <c r="I197" s="376" t="s">
        <v>117</v>
      </c>
      <c r="J197" s="376" t="s">
        <v>452</v>
      </c>
      <c r="K197" s="376">
        <v>9</v>
      </c>
      <c r="L197" s="376" t="s">
        <v>453</v>
      </c>
    </row>
    <row r="198" spans="1:12" x14ac:dyDescent="0.25">
      <c r="A198" s="377">
        <v>45151.893096412037</v>
      </c>
      <c r="B198" s="376" t="s">
        <v>112</v>
      </c>
      <c r="C198" s="376" t="s">
        <v>104</v>
      </c>
      <c r="D198" s="376" t="s">
        <v>120</v>
      </c>
      <c r="E198" s="376" t="s">
        <v>177</v>
      </c>
      <c r="F198" s="376" t="s">
        <v>247</v>
      </c>
      <c r="G198" s="376" t="s">
        <v>130</v>
      </c>
      <c r="H198" s="376">
        <v>5</v>
      </c>
      <c r="I198" s="376" t="s">
        <v>117</v>
      </c>
      <c r="J198" s="376" t="s">
        <v>205</v>
      </c>
      <c r="K198" s="376">
        <v>9</v>
      </c>
      <c r="L198" s="376" t="s">
        <v>454</v>
      </c>
    </row>
    <row r="199" spans="1:12" x14ac:dyDescent="0.25">
      <c r="A199" s="377">
        <v>45152.689534652774</v>
      </c>
      <c r="B199" s="376" t="s">
        <v>103</v>
      </c>
      <c r="C199" s="376" t="s">
        <v>113</v>
      </c>
      <c r="D199" s="376" t="s">
        <v>141</v>
      </c>
      <c r="E199" s="376" t="s">
        <v>126</v>
      </c>
      <c r="F199" s="376" t="s">
        <v>107</v>
      </c>
      <c r="G199" s="376" t="s">
        <v>116</v>
      </c>
      <c r="H199" s="376">
        <v>4</v>
      </c>
      <c r="I199" s="376" t="s">
        <v>134</v>
      </c>
      <c r="J199" s="376" t="s">
        <v>455</v>
      </c>
      <c r="K199" s="376">
        <v>7</v>
      </c>
      <c r="L199" s="376" t="s">
        <v>456</v>
      </c>
    </row>
    <row r="200" spans="1:12" x14ac:dyDescent="0.25">
      <c r="A200" s="377">
        <v>45152.791461400462</v>
      </c>
      <c r="B200" s="376" t="s">
        <v>112</v>
      </c>
      <c r="C200" s="376" t="s">
        <v>113</v>
      </c>
      <c r="D200" s="376" t="s">
        <v>141</v>
      </c>
      <c r="E200" s="376" t="s">
        <v>126</v>
      </c>
      <c r="F200" s="376" t="s">
        <v>115</v>
      </c>
      <c r="G200" s="376" t="s">
        <v>116</v>
      </c>
      <c r="H200" s="376">
        <v>3</v>
      </c>
      <c r="I200" s="376" t="s">
        <v>134</v>
      </c>
      <c r="J200" s="376" t="s">
        <v>457</v>
      </c>
      <c r="K200" s="376">
        <v>6</v>
      </c>
      <c r="L200" s="376" t="s">
        <v>458</v>
      </c>
    </row>
    <row r="201" spans="1:12" x14ac:dyDescent="0.25">
      <c r="A201" s="377">
        <v>45154.489097118058</v>
      </c>
      <c r="B201" s="376" t="s">
        <v>103</v>
      </c>
      <c r="C201" s="376" t="s">
        <v>104</v>
      </c>
      <c r="D201" s="376" t="s">
        <v>120</v>
      </c>
      <c r="E201" s="376" t="s">
        <v>146</v>
      </c>
      <c r="F201" s="376" t="s">
        <v>115</v>
      </c>
      <c r="G201" s="376" t="s">
        <v>108</v>
      </c>
      <c r="H201" s="376">
        <v>5</v>
      </c>
      <c r="I201" s="376" t="s">
        <v>134</v>
      </c>
      <c r="J201" s="376" t="s">
        <v>127</v>
      </c>
      <c r="K201" s="376">
        <v>10</v>
      </c>
      <c r="L201" s="376" t="s">
        <v>459</v>
      </c>
    </row>
    <row r="202" spans="1:12" x14ac:dyDescent="0.25">
      <c r="A202" s="377">
        <v>45154.57441828704</v>
      </c>
      <c r="B202" s="376" t="s">
        <v>103</v>
      </c>
      <c r="C202" s="376" t="s">
        <v>104</v>
      </c>
      <c r="D202" s="376" t="s">
        <v>141</v>
      </c>
      <c r="E202" s="376" t="s">
        <v>126</v>
      </c>
      <c r="F202" s="376" t="s">
        <v>107</v>
      </c>
      <c r="G202" s="376" t="s">
        <v>108</v>
      </c>
      <c r="H202" s="376">
        <v>5</v>
      </c>
      <c r="I202" s="376" t="s">
        <v>134</v>
      </c>
      <c r="J202" s="376" t="s">
        <v>336</v>
      </c>
      <c r="K202" s="376">
        <v>10</v>
      </c>
      <c r="L202" s="376" t="s">
        <v>460</v>
      </c>
    </row>
    <row r="203" spans="1:12" x14ac:dyDescent="0.25">
      <c r="A203" s="377">
        <v>45154.716825868054</v>
      </c>
      <c r="B203" s="376" t="s">
        <v>103</v>
      </c>
      <c r="C203" s="376" t="s">
        <v>104</v>
      </c>
      <c r="D203" s="376" t="s">
        <v>246</v>
      </c>
      <c r="E203" s="376" t="s">
        <v>121</v>
      </c>
      <c r="F203" s="376" t="s">
        <v>115</v>
      </c>
      <c r="G203" s="376" t="s">
        <v>108</v>
      </c>
      <c r="H203" s="376">
        <v>5</v>
      </c>
      <c r="I203" s="376" t="s">
        <v>134</v>
      </c>
      <c r="J203" s="376" t="s">
        <v>207</v>
      </c>
      <c r="K203" s="376">
        <v>10</v>
      </c>
      <c r="L203" s="376" t="s">
        <v>461</v>
      </c>
    </row>
    <row r="204" spans="1:12" x14ac:dyDescent="0.25">
      <c r="A204" s="377">
        <v>45155.78719383102</v>
      </c>
      <c r="B204" s="376" t="s">
        <v>103</v>
      </c>
      <c r="C204" s="376" t="s">
        <v>104</v>
      </c>
      <c r="D204" s="376" t="s">
        <v>120</v>
      </c>
      <c r="E204" s="376" t="s">
        <v>148</v>
      </c>
      <c r="F204" s="376" t="s">
        <v>122</v>
      </c>
      <c r="G204" s="376" t="s">
        <v>130</v>
      </c>
      <c r="H204" s="376">
        <v>5</v>
      </c>
      <c r="I204" s="376" t="s">
        <v>109</v>
      </c>
      <c r="J204" s="376" t="s">
        <v>118</v>
      </c>
      <c r="K204" s="376">
        <v>10</v>
      </c>
      <c r="L204" s="376" t="s">
        <v>462</v>
      </c>
    </row>
    <row r="205" spans="1:12" x14ac:dyDescent="0.25">
      <c r="A205" s="377">
        <v>45155.853129490744</v>
      </c>
      <c r="B205" s="376" t="s">
        <v>103</v>
      </c>
      <c r="C205" s="376" t="s">
        <v>104</v>
      </c>
      <c r="D205" s="376" t="s">
        <v>141</v>
      </c>
      <c r="E205" s="376" t="s">
        <v>121</v>
      </c>
      <c r="F205" s="376" t="s">
        <v>122</v>
      </c>
      <c r="G205" s="376" t="s">
        <v>130</v>
      </c>
      <c r="H205" s="376">
        <v>5</v>
      </c>
      <c r="I205" s="376" t="s">
        <v>117</v>
      </c>
      <c r="J205" s="376" t="s">
        <v>172</v>
      </c>
      <c r="K205" s="376">
        <v>9</v>
      </c>
      <c r="L205" s="376" t="s">
        <v>463</v>
      </c>
    </row>
    <row r="206" spans="1:12" x14ac:dyDescent="0.25">
      <c r="A206" s="377">
        <v>45158.58283024306</v>
      </c>
      <c r="B206" s="376" t="s">
        <v>103</v>
      </c>
      <c r="C206" s="376" t="s">
        <v>104</v>
      </c>
      <c r="D206" s="376" t="s">
        <v>246</v>
      </c>
      <c r="E206" s="376" t="s">
        <v>279</v>
      </c>
      <c r="F206" s="376" t="s">
        <v>138</v>
      </c>
      <c r="G206" s="376" t="s">
        <v>186</v>
      </c>
      <c r="H206" s="376">
        <v>4</v>
      </c>
      <c r="I206" s="376" t="s">
        <v>277</v>
      </c>
      <c r="J206" s="376" t="s">
        <v>205</v>
      </c>
      <c r="K206" s="376">
        <v>9</v>
      </c>
      <c r="L206" s="376" t="s">
        <v>464</v>
      </c>
    </row>
    <row r="207" spans="1:12" x14ac:dyDescent="0.25">
      <c r="A207" s="377">
        <v>45158.609505636574</v>
      </c>
      <c r="B207" s="376" t="s">
        <v>103</v>
      </c>
      <c r="C207" s="376" t="s">
        <v>104</v>
      </c>
      <c r="D207" s="376" t="s">
        <v>114</v>
      </c>
      <c r="E207" s="376" t="s">
        <v>133</v>
      </c>
      <c r="F207" s="376" t="s">
        <v>115</v>
      </c>
      <c r="G207" s="376" t="s">
        <v>108</v>
      </c>
      <c r="H207" s="376">
        <v>5</v>
      </c>
      <c r="I207" s="376" t="s">
        <v>134</v>
      </c>
      <c r="J207" s="376" t="s">
        <v>135</v>
      </c>
      <c r="K207" s="376">
        <v>10</v>
      </c>
      <c r="L207" s="376" t="s">
        <v>465</v>
      </c>
    </row>
    <row r="208" spans="1:12" x14ac:dyDescent="0.25">
      <c r="A208" s="377">
        <v>45158.61085834491</v>
      </c>
      <c r="B208" s="376" t="s">
        <v>103</v>
      </c>
      <c r="C208" s="376" t="s">
        <v>113</v>
      </c>
      <c r="D208" s="376" t="s">
        <v>141</v>
      </c>
      <c r="E208" s="376" t="s">
        <v>126</v>
      </c>
      <c r="F208" s="376" t="s">
        <v>142</v>
      </c>
      <c r="G208" s="376" t="s">
        <v>116</v>
      </c>
      <c r="H208" s="376">
        <v>5</v>
      </c>
      <c r="I208" s="376" t="s">
        <v>109</v>
      </c>
      <c r="J208" s="376" t="s">
        <v>168</v>
      </c>
      <c r="K208" s="376">
        <v>9</v>
      </c>
      <c r="L208" s="376" t="s">
        <v>466</v>
      </c>
    </row>
    <row r="209" spans="1:12" x14ac:dyDescent="0.25">
      <c r="A209" s="377">
        <v>45158.695435995367</v>
      </c>
      <c r="B209" s="376" t="s">
        <v>103</v>
      </c>
      <c r="C209" s="376" t="s">
        <v>104</v>
      </c>
      <c r="D209" s="376" t="s">
        <v>141</v>
      </c>
      <c r="E209" s="376" t="s">
        <v>133</v>
      </c>
      <c r="F209" s="376" t="s">
        <v>115</v>
      </c>
      <c r="G209" s="376" t="s">
        <v>116</v>
      </c>
      <c r="H209" s="376">
        <v>4</v>
      </c>
      <c r="I209" s="376" t="s">
        <v>117</v>
      </c>
      <c r="J209" s="376" t="s">
        <v>467</v>
      </c>
      <c r="K209" s="376">
        <v>9</v>
      </c>
      <c r="L209" s="376" t="s">
        <v>468</v>
      </c>
    </row>
    <row r="210" spans="1:12" x14ac:dyDescent="0.25">
      <c r="A210" s="377">
        <v>45158.744319756945</v>
      </c>
      <c r="B210" s="376" t="s">
        <v>112</v>
      </c>
      <c r="C210" s="376" t="s">
        <v>199</v>
      </c>
      <c r="D210" s="376" t="s">
        <v>120</v>
      </c>
      <c r="E210" s="376" t="s">
        <v>146</v>
      </c>
      <c r="F210" s="376" t="s">
        <v>107</v>
      </c>
      <c r="G210" s="376" t="s">
        <v>116</v>
      </c>
      <c r="H210" s="376">
        <v>4</v>
      </c>
      <c r="I210" s="376" t="s">
        <v>134</v>
      </c>
      <c r="J210" s="376" t="s">
        <v>469</v>
      </c>
      <c r="K210" s="376">
        <v>7</v>
      </c>
      <c r="L210" s="376" t="s">
        <v>470</v>
      </c>
    </row>
    <row r="211" spans="1:12" x14ac:dyDescent="0.25">
      <c r="A211" s="377">
        <v>45159.913464039353</v>
      </c>
      <c r="B211" s="376" t="s">
        <v>112</v>
      </c>
      <c r="C211" s="376" t="s">
        <v>104</v>
      </c>
      <c r="D211" s="376" t="s">
        <v>120</v>
      </c>
      <c r="E211" s="376" t="s">
        <v>126</v>
      </c>
      <c r="F211" s="376" t="s">
        <v>107</v>
      </c>
      <c r="G211" s="376" t="s">
        <v>116</v>
      </c>
      <c r="H211" s="376">
        <v>5</v>
      </c>
      <c r="I211" s="376" t="s">
        <v>134</v>
      </c>
      <c r="J211" s="376" t="s">
        <v>336</v>
      </c>
      <c r="K211" s="376">
        <v>9</v>
      </c>
      <c r="L211" s="376" t="s">
        <v>471</v>
      </c>
    </row>
    <row r="212" spans="1:12" x14ac:dyDescent="0.25">
      <c r="A212" s="377">
        <v>45161.468474699075</v>
      </c>
      <c r="B212" s="376" t="s">
        <v>103</v>
      </c>
      <c r="C212" s="376" t="s">
        <v>104</v>
      </c>
      <c r="D212" s="376" t="s">
        <v>141</v>
      </c>
      <c r="E212" s="376" t="s">
        <v>362</v>
      </c>
      <c r="F212" s="376" t="s">
        <v>138</v>
      </c>
      <c r="G212" s="376" t="s">
        <v>108</v>
      </c>
      <c r="H212" s="376">
        <v>5</v>
      </c>
      <c r="I212" s="376" t="s">
        <v>131</v>
      </c>
      <c r="J212" s="376" t="s">
        <v>207</v>
      </c>
      <c r="K212" s="376">
        <v>10</v>
      </c>
      <c r="L212" s="376" t="s">
        <v>472</v>
      </c>
    </row>
    <row r="213" spans="1:12" x14ac:dyDescent="0.25">
      <c r="A213" s="377">
        <v>45161.476826030092</v>
      </c>
      <c r="B213" s="376" t="s">
        <v>103</v>
      </c>
      <c r="C213" s="376" t="s">
        <v>113</v>
      </c>
      <c r="D213" s="376" t="s">
        <v>120</v>
      </c>
      <c r="E213" s="376" t="s">
        <v>157</v>
      </c>
      <c r="F213" s="376" t="s">
        <v>142</v>
      </c>
      <c r="G213" s="376" t="s">
        <v>143</v>
      </c>
      <c r="H213" s="376">
        <v>4</v>
      </c>
      <c r="I213" s="376" t="s">
        <v>134</v>
      </c>
      <c r="J213" s="376" t="s">
        <v>172</v>
      </c>
      <c r="K213" s="376">
        <v>7</v>
      </c>
      <c r="L213" s="376" t="s">
        <v>473</v>
      </c>
    </row>
    <row r="214" spans="1:12" x14ac:dyDescent="0.25">
      <c r="A214" s="377">
        <v>45162.679415937499</v>
      </c>
      <c r="B214" s="376" t="s">
        <v>103</v>
      </c>
      <c r="C214" s="376" t="s">
        <v>104</v>
      </c>
      <c r="D214" s="376" t="s">
        <v>141</v>
      </c>
      <c r="E214" s="376" t="s">
        <v>133</v>
      </c>
      <c r="F214" s="376" t="s">
        <v>115</v>
      </c>
      <c r="G214" s="376" t="s">
        <v>116</v>
      </c>
      <c r="H214" s="376">
        <v>5</v>
      </c>
      <c r="I214" s="376" t="s">
        <v>134</v>
      </c>
      <c r="J214" s="376" t="s">
        <v>172</v>
      </c>
      <c r="K214" s="376">
        <v>9</v>
      </c>
      <c r="L214" s="376" t="s">
        <v>355</v>
      </c>
    </row>
    <row r="215" spans="1:12" x14ac:dyDescent="0.25">
      <c r="A215" s="377">
        <v>45162.821542500002</v>
      </c>
      <c r="B215" s="376" t="s">
        <v>103</v>
      </c>
      <c r="C215" s="376" t="s">
        <v>113</v>
      </c>
      <c r="D215" s="376" t="s">
        <v>141</v>
      </c>
      <c r="E215" s="376" t="s">
        <v>137</v>
      </c>
      <c r="F215" s="376" t="s">
        <v>200</v>
      </c>
      <c r="G215" s="376" t="s">
        <v>194</v>
      </c>
      <c r="H215" s="376">
        <v>4</v>
      </c>
      <c r="I215" s="376" t="s">
        <v>109</v>
      </c>
      <c r="J215" s="376" t="s">
        <v>207</v>
      </c>
      <c r="K215" s="376">
        <v>8</v>
      </c>
      <c r="L215" s="376" t="s">
        <v>474</v>
      </c>
    </row>
    <row r="216" spans="1:12" x14ac:dyDescent="0.25">
      <c r="A216" s="377">
        <v>45162.894853692131</v>
      </c>
      <c r="B216" s="376" t="s">
        <v>103</v>
      </c>
      <c r="C216" s="376" t="s">
        <v>104</v>
      </c>
      <c r="D216" s="376" t="s">
        <v>105</v>
      </c>
      <c r="E216" s="376" t="s">
        <v>475</v>
      </c>
      <c r="F216" s="376" t="s">
        <v>138</v>
      </c>
      <c r="G216" s="376" t="s">
        <v>143</v>
      </c>
      <c r="H216" s="376">
        <v>5</v>
      </c>
      <c r="I216" s="376" t="s">
        <v>167</v>
      </c>
      <c r="J216" s="376" t="s">
        <v>135</v>
      </c>
      <c r="K216" s="376">
        <v>9</v>
      </c>
      <c r="L216" s="376" t="s">
        <v>476</v>
      </c>
    </row>
    <row r="217" spans="1:12" x14ac:dyDescent="0.25">
      <c r="A217" s="377">
        <v>45168.804821342594</v>
      </c>
      <c r="B217" s="376" t="s">
        <v>103</v>
      </c>
      <c r="C217" s="376" t="s">
        <v>104</v>
      </c>
      <c r="D217" s="376" t="s">
        <v>141</v>
      </c>
      <c r="E217" s="376" t="s">
        <v>170</v>
      </c>
      <c r="F217" s="376" t="s">
        <v>107</v>
      </c>
      <c r="G217" s="376" t="s">
        <v>143</v>
      </c>
      <c r="H217" s="376">
        <v>4</v>
      </c>
      <c r="I217" s="376" t="s">
        <v>109</v>
      </c>
      <c r="J217" s="376" t="s">
        <v>159</v>
      </c>
      <c r="K217" s="376">
        <v>9</v>
      </c>
      <c r="L217" s="376" t="s">
        <v>477</v>
      </c>
    </row>
    <row r="218" spans="1:12" x14ac:dyDescent="0.25">
      <c r="A218" s="377">
        <v>45169.527436655088</v>
      </c>
      <c r="B218" s="376" t="s">
        <v>103</v>
      </c>
      <c r="C218" s="376" t="s">
        <v>113</v>
      </c>
      <c r="D218" s="376" t="s">
        <v>114</v>
      </c>
      <c r="E218" s="376" t="s">
        <v>170</v>
      </c>
      <c r="F218" s="376" t="s">
        <v>200</v>
      </c>
      <c r="G218" s="376" t="s">
        <v>194</v>
      </c>
      <c r="H218" s="376">
        <v>5</v>
      </c>
      <c r="I218" s="376" t="s">
        <v>134</v>
      </c>
      <c r="J218" s="376" t="s">
        <v>478</v>
      </c>
      <c r="K218" s="376">
        <v>8</v>
      </c>
      <c r="L218" s="376" t="s">
        <v>479</v>
      </c>
    </row>
    <row r="219" spans="1:12" x14ac:dyDescent="0.25">
      <c r="A219" s="377">
        <v>45172.711298831018</v>
      </c>
      <c r="B219" s="376" t="s">
        <v>103</v>
      </c>
      <c r="C219" s="376" t="s">
        <v>104</v>
      </c>
      <c r="D219" s="376" t="s">
        <v>141</v>
      </c>
      <c r="E219" s="376" t="s">
        <v>163</v>
      </c>
      <c r="F219" s="376" t="s">
        <v>107</v>
      </c>
      <c r="G219" s="376" t="s">
        <v>108</v>
      </c>
      <c r="H219" s="376">
        <v>5</v>
      </c>
      <c r="I219" s="376" t="s">
        <v>109</v>
      </c>
      <c r="J219" s="376" t="s">
        <v>127</v>
      </c>
      <c r="K219" s="376">
        <v>9</v>
      </c>
      <c r="L219" s="376" t="s">
        <v>145</v>
      </c>
    </row>
    <row r="220" spans="1:12" x14ac:dyDescent="0.25">
      <c r="A220" s="377">
        <v>45180.624436423612</v>
      </c>
      <c r="B220" s="376" t="s">
        <v>103</v>
      </c>
      <c r="C220" s="376" t="s">
        <v>104</v>
      </c>
      <c r="D220" s="376" t="s">
        <v>120</v>
      </c>
      <c r="E220" s="376" t="s">
        <v>126</v>
      </c>
      <c r="F220" s="376" t="s">
        <v>122</v>
      </c>
      <c r="G220" s="376" t="s">
        <v>130</v>
      </c>
      <c r="H220" s="376">
        <v>5</v>
      </c>
      <c r="I220" s="376" t="s">
        <v>134</v>
      </c>
      <c r="J220" s="376" t="s">
        <v>202</v>
      </c>
      <c r="K220" s="376">
        <v>9</v>
      </c>
      <c r="L220" s="376" t="s">
        <v>480</v>
      </c>
    </row>
    <row r="221" spans="1:12" x14ac:dyDescent="0.25">
      <c r="A221" s="377">
        <v>45180.751706724535</v>
      </c>
      <c r="B221" s="376" t="s">
        <v>103</v>
      </c>
      <c r="C221" s="376" t="s">
        <v>104</v>
      </c>
      <c r="D221" s="376" t="s">
        <v>114</v>
      </c>
      <c r="E221" s="376" t="s">
        <v>148</v>
      </c>
      <c r="F221" s="376" t="s">
        <v>200</v>
      </c>
      <c r="G221" s="376" t="s">
        <v>116</v>
      </c>
      <c r="H221" s="376">
        <v>4</v>
      </c>
      <c r="I221" s="376" t="s">
        <v>117</v>
      </c>
      <c r="J221" s="376" t="s">
        <v>481</v>
      </c>
      <c r="K221" s="376">
        <v>8</v>
      </c>
      <c r="L221" s="376" t="s">
        <v>145</v>
      </c>
    </row>
    <row r="222" spans="1:12" x14ac:dyDescent="0.25">
      <c r="A222" s="377">
        <v>45185.799386701387</v>
      </c>
      <c r="B222" s="376" t="s">
        <v>103</v>
      </c>
      <c r="C222" s="376" t="s">
        <v>104</v>
      </c>
      <c r="D222" s="376" t="s">
        <v>482</v>
      </c>
      <c r="E222" s="376" t="s">
        <v>177</v>
      </c>
      <c r="F222" s="376" t="s">
        <v>115</v>
      </c>
      <c r="G222" s="376" t="s">
        <v>116</v>
      </c>
      <c r="H222" s="376">
        <v>5</v>
      </c>
      <c r="I222" s="376" t="s">
        <v>109</v>
      </c>
      <c r="J222" s="376" t="s">
        <v>135</v>
      </c>
      <c r="K222" s="376">
        <v>10</v>
      </c>
      <c r="L222" s="376" t="s">
        <v>483</v>
      </c>
    </row>
    <row r="223" spans="1:12" x14ac:dyDescent="0.25">
      <c r="A223" s="377">
        <v>45186.709007407408</v>
      </c>
      <c r="B223" s="376" t="s">
        <v>103</v>
      </c>
      <c r="C223" s="376" t="s">
        <v>113</v>
      </c>
      <c r="D223" s="376" t="s">
        <v>141</v>
      </c>
      <c r="E223" s="376" t="s">
        <v>157</v>
      </c>
      <c r="F223" s="376" t="s">
        <v>142</v>
      </c>
      <c r="G223" s="376" t="s">
        <v>116</v>
      </c>
      <c r="H223" s="376">
        <v>5</v>
      </c>
      <c r="I223" s="376" t="s">
        <v>117</v>
      </c>
      <c r="J223" s="376" t="s">
        <v>127</v>
      </c>
      <c r="K223" s="376">
        <v>10</v>
      </c>
      <c r="L223" s="376" t="s">
        <v>484</v>
      </c>
    </row>
    <row r="224" spans="1:12" x14ac:dyDescent="0.25">
      <c r="A224" s="377">
        <v>45186.762123912034</v>
      </c>
      <c r="B224" s="376" t="s">
        <v>103</v>
      </c>
      <c r="C224" s="376" t="s">
        <v>113</v>
      </c>
      <c r="D224" s="376" t="s">
        <v>246</v>
      </c>
      <c r="E224" s="376" t="s">
        <v>133</v>
      </c>
      <c r="F224" s="376" t="s">
        <v>115</v>
      </c>
      <c r="G224" s="376" t="s">
        <v>108</v>
      </c>
      <c r="H224" s="376">
        <v>5</v>
      </c>
      <c r="I224" s="376" t="s">
        <v>109</v>
      </c>
      <c r="J224" s="376" t="s">
        <v>168</v>
      </c>
      <c r="K224" s="376">
        <v>10</v>
      </c>
      <c r="L224" s="376" t="s">
        <v>485</v>
      </c>
    </row>
    <row r="225" spans="1:12" x14ac:dyDescent="0.25">
      <c r="A225" s="377">
        <v>45186.805102442129</v>
      </c>
      <c r="B225" s="376" t="s">
        <v>112</v>
      </c>
      <c r="C225" s="376" t="s">
        <v>113</v>
      </c>
      <c r="D225" s="376" t="s">
        <v>141</v>
      </c>
      <c r="E225" s="376" t="s">
        <v>228</v>
      </c>
      <c r="F225" s="376" t="s">
        <v>115</v>
      </c>
      <c r="G225" s="376" t="s">
        <v>108</v>
      </c>
      <c r="H225" s="376">
        <v>5</v>
      </c>
      <c r="I225" s="376" t="s">
        <v>117</v>
      </c>
      <c r="J225" s="376" t="s">
        <v>336</v>
      </c>
      <c r="K225" s="376">
        <v>9</v>
      </c>
      <c r="L225" s="376" t="s">
        <v>486</v>
      </c>
    </row>
    <row r="226" spans="1:12" x14ac:dyDescent="0.25">
      <c r="A226" s="377">
        <v>45186.807743541664</v>
      </c>
      <c r="B226" s="376" t="s">
        <v>103</v>
      </c>
      <c r="C226" s="376" t="s">
        <v>104</v>
      </c>
      <c r="D226" s="376" t="s">
        <v>141</v>
      </c>
      <c r="E226" s="376" t="s">
        <v>133</v>
      </c>
      <c r="F226" s="376" t="s">
        <v>223</v>
      </c>
      <c r="G226" s="376" t="s">
        <v>116</v>
      </c>
      <c r="H226" s="376">
        <v>5</v>
      </c>
      <c r="I226" s="376" t="s">
        <v>109</v>
      </c>
      <c r="J226" s="376" t="s">
        <v>168</v>
      </c>
      <c r="K226" s="376">
        <v>10</v>
      </c>
      <c r="L226" s="376" t="s">
        <v>487</v>
      </c>
    </row>
    <row r="227" spans="1:12" x14ac:dyDescent="0.25">
      <c r="A227" s="377">
        <v>45186.845977627316</v>
      </c>
      <c r="B227" s="376" t="s">
        <v>112</v>
      </c>
      <c r="C227" s="376" t="s">
        <v>113</v>
      </c>
      <c r="D227" s="376" t="s">
        <v>120</v>
      </c>
      <c r="E227" s="376" t="s">
        <v>126</v>
      </c>
      <c r="F227" s="376" t="s">
        <v>115</v>
      </c>
      <c r="G227" s="376" t="s">
        <v>116</v>
      </c>
      <c r="H227" s="376">
        <v>5</v>
      </c>
      <c r="I227" s="376" t="s">
        <v>109</v>
      </c>
      <c r="J227" s="376" t="s">
        <v>118</v>
      </c>
      <c r="K227" s="376">
        <v>9</v>
      </c>
      <c r="L227" s="376" t="s">
        <v>488</v>
      </c>
    </row>
    <row r="228" spans="1:12" x14ac:dyDescent="0.25">
      <c r="A228" s="377">
        <v>45187.364600844907</v>
      </c>
      <c r="B228" s="376" t="s">
        <v>103</v>
      </c>
      <c r="C228" s="376" t="s">
        <v>151</v>
      </c>
      <c r="D228" s="376" t="s">
        <v>120</v>
      </c>
      <c r="E228" s="376" t="s">
        <v>146</v>
      </c>
      <c r="F228" s="376" t="s">
        <v>138</v>
      </c>
      <c r="G228" s="376" t="s">
        <v>116</v>
      </c>
      <c r="H228" s="376">
        <v>5</v>
      </c>
      <c r="I228" s="376" t="s">
        <v>109</v>
      </c>
      <c r="J228" s="376" t="s">
        <v>207</v>
      </c>
      <c r="K228" s="376">
        <v>10</v>
      </c>
      <c r="L228" s="376" t="s">
        <v>489</v>
      </c>
    </row>
    <row r="229" spans="1:12" x14ac:dyDescent="0.25">
      <c r="A229" s="377">
        <v>45195.442380497683</v>
      </c>
      <c r="B229" s="376" t="s">
        <v>112</v>
      </c>
      <c r="C229" s="376" t="s">
        <v>113</v>
      </c>
      <c r="D229" s="376" t="s">
        <v>114</v>
      </c>
      <c r="E229" s="376" t="s">
        <v>292</v>
      </c>
      <c r="F229" s="376" t="s">
        <v>142</v>
      </c>
      <c r="G229" s="376" t="s">
        <v>213</v>
      </c>
      <c r="H229" s="376">
        <v>5</v>
      </c>
      <c r="I229" s="376" t="s">
        <v>451</v>
      </c>
      <c r="J229" s="376" t="s">
        <v>127</v>
      </c>
      <c r="K229" s="376">
        <v>10</v>
      </c>
      <c r="L229" s="376" t="s">
        <v>490</v>
      </c>
    </row>
    <row r="230" spans="1:12" x14ac:dyDescent="0.25">
      <c r="A230" s="377">
        <v>45195.45740561343</v>
      </c>
      <c r="B230" s="376" t="s">
        <v>112</v>
      </c>
      <c r="C230" s="376" t="s">
        <v>113</v>
      </c>
      <c r="D230" s="376" t="s">
        <v>141</v>
      </c>
      <c r="E230" s="376" t="s">
        <v>257</v>
      </c>
      <c r="F230" s="376" t="s">
        <v>223</v>
      </c>
      <c r="G230" s="376" t="s">
        <v>143</v>
      </c>
      <c r="H230" s="376">
        <v>5</v>
      </c>
      <c r="I230" s="376" t="s">
        <v>167</v>
      </c>
      <c r="J230" s="376" t="s">
        <v>336</v>
      </c>
      <c r="K230" s="376">
        <v>8</v>
      </c>
      <c r="L230" s="376" t="s">
        <v>491</v>
      </c>
    </row>
    <row r="231" spans="1:12" x14ac:dyDescent="0.25">
      <c r="A231" s="377">
        <v>45195.506669930561</v>
      </c>
      <c r="B231" s="376" t="s">
        <v>103</v>
      </c>
      <c r="C231" s="376" t="s">
        <v>151</v>
      </c>
      <c r="D231" s="376" t="s">
        <v>492</v>
      </c>
      <c r="E231" s="376" t="s">
        <v>493</v>
      </c>
      <c r="F231" s="376" t="s">
        <v>149</v>
      </c>
      <c r="G231" s="376" t="s">
        <v>108</v>
      </c>
      <c r="H231" s="376">
        <v>5</v>
      </c>
      <c r="I231" s="376" t="s">
        <v>319</v>
      </c>
      <c r="J231" s="376" t="s">
        <v>110</v>
      </c>
      <c r="K231" s="376">
        <v>10</v>
      </c>
      <c r="L231" s="376" t="s">
        <v>494</v>
      </c>
    </row>
    <row r="232" spans="1:12" x14ac:dyDescent="0.25">
      <c r="A232" s="377">
        <v>45195.517259965272</v>
      </c>
      <c r="B232" s="376" t="s">
        <v>103</v>
      </c>
      <c r="C232" s="376" t="s">
        <v>104</v>
      </c>
      <c r="D232" s="376" t="s">
        <v>495</v>
      </c>
      <c r="E232" s="376" t="s">
        <v>126</v>
      </c>
      <c r="F232" s="376" t="s">
        <v>149</v>
      </c>
      <c r="G232" s="376" t="s">
        <v>108</v>
      </c>
      <c r="H232" s="376">
        <v>5</v>
      </c>
      <c r="I232" s="376" t="s">
        <v>131</v>
      </c>
      <c r="J232" s="376" t="s">
        <v>135</v>
      </c>
      <c r="K232" s="376">
        <v>10</v>
      </c>
      <c r="L232" s="376" t="s">
        <v>496</v>
      </c>
    </row>
    <row r="233" spans="1:12" x14ac:dyDescent="0.25">
      <c r="A233" s="377">
        <v>45195.520209861112</v>
      </c>
      <c r="B233" s="376" t="s">
        <v>103</v>
      </c>
      <c r="C233" s="376" t="s">
        <v>151</v>
      </c>
      <c r="D233" s="376" t="s">
        <v>120</v>
      </c>
      <c r="E233" s="376" t="s">
        <v>148</v>
      </c>
      <c r="F233" s="376" t="s">
        <v>115</v>
      </c>
      <c r="G233" s="376" t="s">
        <v>108</v>
      </c>
      <c r="H233" s="376">
        <v>5</v>
      </c>
      <c r="I233" s="376" t="s">
        <v>134</v>
      </c>
      <c r="J233" s="376" t="s">
        <v>301</v>
      </c>
      <c r="K233" s="376">
        <v>9</v>
      </c>
      <c r="L233" s="376" t="s">
        <v>497</v>
      </c>
    </row>
    <row r="234" spans="1:12" x14ac:dyDescent="0.25">
      <c r="A234" s="377">
        <v>45195.558315347225</v>
      </c>
      <c r="B234" s="376" t="s">
        <v>112</v>
      </c>
      <c r="C234" s="376" t="s">
        <v>151</v>
      </c>
      <c r="D234" s="376" t="s">
        <v>141</v>
      </c>
      <c r="E234" s="376" t="s">
        <v>146</v>
      </c>
      <c r="F234" s="376" t="s">
        <v>107</v>
      </c>
      <c r="G234" s="376" t="s">
        <v>108</v>
      </c>
      <c r="H234" s="376">
        <v>5</v>
      </c>
      <c r="I234" s="376" t="s">
        <v>167</v>
      </c>
      <c r="J234" s="376" t="s">
        <v>336</v>
      </c>
      <c r="K234" s="376">
        <v>10</v>
      </c>
      <c r="L234" s="376" t="s">
        <v>498</v>
      </c>
    </row>
    <row r="235" spans="1:12" x14ac:dyDescent="0.25">
      <c r="A235" s="377">
        <v>45195.83104715278</v>
      </c>
      <c r="B235" s="376" t="s">
        <v>103</v>
      </c>
      <c r="C235" s="376" t="s">
        <v>151</v>
      </c>
      <c r="D235" s="376" t="s">
        <v>120</v>
      </c>
      <c r="E235" s="376" t="s">
        <v>177</v>
      </c>
      <c r="F235" s="376" t="s">
        <v>115</v>
      </c>
      <c r="G235" s="376" t="s">
        <v>108</v>
      </c>
      <c r="H235" s="376">
        <v>5</v>
      </c>
      <c r="I235" s="376" t="s">
        <v>167</v>
      </c>
      <c r="J235" s="376" t="s">
        <v>135</v>
      </c>
      <c r="K235" s="376">
        <v>10</v>
      </c>
      <c r="L235" s="376" t="s">
        <v>499</v>
      </c>
    </row>
    <row r="236" spans="1:12" x14ac:dyDescent="0.25">
      <c r="A236" s="377">
        <v>45196.526901122685</v>
      </c>
      <c r="B236" s="376" t="s">
        <v>103</v>
      </c>
      <c r="C236" s="376" t="s">
        <v>151</v>
      </c>
      <c r="D236" s="376" t="s">
        <v>120</v>
      </c>
      <c r="E236" s="376" t="s">
        <v>148</v>
      </c>
      <c r="F236" s="376" t="s">
        <v>115</v>
      </c>
      <c r="G236" s="376" t="s">
        <v>116</v>
      </c>
      <c r="H236" s="376">
        <v>5</v>
      </c>
      <c r="I236" s="376" t="s">
        <v>451</v>
      </c>
      <c r="J236" s="376" t="s">
        <v>135</v>
      </c>
      <c r="K236" s="376">
        <v>9</v>
      </c>
      <c r="L236" s="376" t="s">
        <v>500</v>
      </c>
    </row>
    <row r="237" spans="1:12" x14ac:dyDescent="0.25">
      <c r="A237" s="377">
        <v>45200.789534756943</v>
      </c>
      <c r="B237" s="376" t="s">
        <v>103</v>
      </c>
      <c r="C237" s="376" t="s">
        <v>104</v>
      </c>
      <c r="D237" s="376" t="s">
        <v>120</v>
      </c>
      <c r="E237" s="376" t="s">
        <v>121</v>
      </c>
      <c r="F237" s="376" t="s">
        <v>115</v>
      </c>
      <c r="G237" s="376" t="s">
        <v>108</v>
      </c>
      <c r="H237" s="376">
        <v>5</v>
      </c>
      <c r="I237" s="376" t="s">
        <v>134</v>
      </c>
      <c r="J237" s="376" t="s">
        <v>207</v>
      </c>
      <c r="K237" s="376">
        <v>10</v>
      </c>
      <c r="L237" s="376" t="s">
        <v>501</v>
      </c>
    </row>
    <row r="238" spans="1:12" x14ac:dyDescent="0.25">
      <c r="A238" s="377">
        <v>45200.794267118057</v>
      </c>
      <c r="B238" s="376" t="s">
        <v>103</v>
      </c>
      <c r="C238" s="376" t="s">
        <v>151</v>
      </c>
      <c r="D238" s="376" t="s">
        <v>184</v>
      </c>
      <c r="E238" s="376" t="s">
        <v>126</v>
      </c>
      <c r="F238" s="376" t="s">
        <v>210</v>
      </c>
      <c r="G238" s="376" t="s">
        <v>143</v>
      </c>
      <c r="H238" s="376">
        <v>5</v>
      </c>
      <c r="I238" s="376" t="s">
        <v>109</v>
      </c>
      <c r="J238" s="376" t="s">
        <v>118</v>
      </c>
      <c r="K238" s="376">
        <v>10</v>
      </c>
      <c r="L238" s="376" t="s">
        <v>502</v>
      </c>
    </row>
    <row r="239" spans="1:12" x14ac:dyDescent="0.25">
      <c r="A239" s="377">
        <v>45200.842943773147</v>
      </c>
      <c r="B239" s="376" t="s">
        <v>112</v>
      </c>
      <c r="C239" s="376" t="s">
        <v>104</v>
      </c>
      <c r="D239" s="376" t="s">
        <v>246</v>
      </c>
      <c r="E239" s="376" t="s">
        <v>126</v>
      </c>
      <c r="F239" s="376" t="s">
        <v>138</v>
      </c>
      <c r="G239" s="376" t="s">
        <v>186</v>
      </c>
      <c r="H239" s="376">
        <v>5</v>
      </c>
      <c r="I239" s="376" t="s">
        <v>117</v>
      </c>
      <c r="J239" s="376" t="s">
        <v>207</v>
      </c>
      <c r="K239" s="376">
        <v>10</v>
      </c>
      <c r="L239" s="376" t="s">
        <v>145</v>
      </c>
    </row>
    <row r="240" spans="1:12" x14ac:dyDescent="0.25">
      <c r="A240" s="377">
        <v>45201.501444085647</v>
      </c>
      <c r="B240" s="376" t="s">
        <v>103</v>
      </c>
      <c r="C240" s="376" t="s">
        <v>151</v>
      </c>
      <c r="D240" s="376" t="s">
        <v>120</v>
      </c>
      <c r="E240" s="376" t="s">
        <v>503</v>
      </c>
      <c r="F240" s="376" t="s">
        <v>377</v>
      </c>
      <c r="G240" s="376" t="s">
        <v>194</v>
      </c>
      <c r="H240" s="376">
        <v>4</v>
      </c>
      <c r="I240" s="376" t="s">
        <v>109</v>
      </c>
      <c r="J240" s="376" t="s">
        <v>504</v>
      </c>
      <c r="K240" s="376">
        <v>9</v>
      </c>
      <c r="L240" s="376" t="s">
        <v>505</v>
      </c>
    </row>
    <row r="241" spans="1:12" x14ac:dyDescent="0.25">
      <c r="A241" s="377">
        <v>45201.931489039351</v>
      </c>
      <c r="B241" s="376" t="s">
        <v>112</v>
      </c>
      <c r="C241" s="376" t="s">
        <v>113</v>
      </c>
      <c r="D241" s="376" t="s">
        <v>120</v>
      </c>
      <c r="E241" s="376" t="s">
        <v>506</v>
      </c>
      <c r="F241" s="376" t="s">
        <v>115</v>
      </c>
      <c r="G241" s="376" t="s">
        <v>108</v>
      </c>
      <c r="H241" s="376">
        <v>5</v>
      </c>
      <c r="I241" s="376" t="s">
        <v>131</v>
      </c>
      <c r="J241" s="376" t="s">
        <v>118</v>
      </c>
      <c r="K241" s="376">
        <v>10</v>
      </c>
      <c r="L241" s="376" t="s">
        <v>507</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7"/>
  <sheetViews>
    <sheetView workbookViewId="0">
      <pane xSplit="1" ySplit="1" topLeftCell="B2" activePane="bottomRight" state="frozenSplit"/>
      <selection pane="topRight" activeCell="B1" sqref="B1"/>
      <selection pane="bottomLeft" activeCell="A2" sqref="A2"/>
      <selection pane="bottomRight" activeCell="I29" sqref="I29"/>
    </sheetView>
  </sheetViews>
  <sheetFormatPr defaultColWidth="11.42578125" defaultRowHeight="15" x14ac:dyDescent="0.25"/>
  <cols>
    <col min="1" max="1" width="6.85546875" customWidth="1"/>
    <col min="2" max="2" width="13.85546875" customWidth="1"/>
    <col min="3" max="3" width="6.85546875" bestFit="1" customWidth="1"/>
    <col min="4" max="4" width="12.140625" bestFit="1" customWidth="1"/>
    <col min="5" max="5" width="12.28515625" customWidth="1"/>
    <col min="6" max="6" width="12.42578125" customWidth="1"/>
    <col min="7" max="7" width="9.42578125" bestFit="1" customWidth="1"/>
    <col min="8" max="8" width="11" bestFit="1" customWidth="1"/>
    <col min="9" max="9" width="9.42578125" bestFit="1" customWidth="1"/>
    <col min="10" max="10" width="11" bestFit="1" customWidth="1"/>
    <col min="11" max="11" width="9.42578125" bestFit="1" customWidth="1"/>
    <col min="12" max="12" width="9.7109375" bestFit="1" customWidth="1"/>
    <col min="13" max="13" width="20" bestFit="1" customWidth="1"/>
    <col min="14" max="14" width="9.85546875" bestFit="1" customWidth="1"/>
    <col min="15" max="15" width="11" bestFit="1" customWidth="1"/>
    <col min="16" max="16" width="10.42578125" customWidth="1"/>
    <col min="17" max="17" width="12" bestFit="1" customWidth="1"/>
    <col min="18" max="18" width="11.140625" bestFit="1" customWidth="1"/>
    <col min="19" max="19" width="12" customWidth="1"/>
    <col min="20" max="20" width="11.42578125" hidden="1" customWidth="1"/>
    <col min="21" max="21" width="16" customWidth="1"/>
  </cols>
  <sheetData>
    <row r="1" spans="1:21" ht="30" customHeight="1" x14ac:dyDescent="0.25">
      <c r="A1" s="9" t="s">
        <v>0</v>
      </c>
      <c r="B1" s="402" t="s">
        <v>13</v>
      </c>
      <c r="C1" s="424"/>
      <c r="D1" s="420"/>
      <c r="E1" s="402" t="s">
        <v>26</v>
      </c>
      <c r="F1" s="420"/>
      <c r="G1" s="402" t="s">
        <v>1</v>
      </c>
      <c r="H1" s="420"/>
      <c r="I1" s="402" t="s">
        <v>2</v>
      </c>
      <c r="J1" s="420"/>
      <c r="K1" s="402" t="s">
        <v>22</v>
      </c>
      <c r="L1" s="420"/>
      <c r="M1" s="4" t="s">
        <v>3</v>
      </c>
      <c r="N1" s="418" t="s">
        <v>5</v>
      </c>
      <c r="O1" s="3" t="s">
        <v>58</v>
      </c>
      <c r="P1" s="422" t="s">
        <v>4</v>
      </c>
      <c r="Q1" s="423"/>
      <c r="R1" s="422" t="s">
        <v>25</v>
      </c>
      <c r="S1" s="423"/>
      <c r="T1" s="42"/>
      <c r="U1" s="418" t="s">
        <v>21</v>
      </c>
    </row>
    <row r="2" spans="1:21" ht="24.75" thickBot="1" x14ac:dyDescent="0.3">
      <c r="A2" s="10"/>
      <c r="B2" s="5" t="s">
        <v>19</v>
      </c>
      <c r="C2" s="5" t="s">
        <v>20</v>
      </c>
      <c r="D2" s="6" t="s">
        <v>14</v>
      </c>
      <c r="E2" s="5" t="s">
        <v>19</v>
      </c>
      <c r="F2" s="6" t="s">
        <v>14</v>
      </c>
      <c r="G2" s="5" t="s">
        <v>19</v>
      </c>
      <c r="H2" s="6" t="s">
        <v>14</v>
      </c>
      <c r="I2" s="5" t="s">
        <v>19</v>
      </c>
      <c r="J2" s="6" t="s">
        <v>14</v>
      </c>
      <c r="K2" s="5" t="s">
        <v>19</v>
      </c>
      <c r="L2" s="6" t="s">
        <v>14</v>
      </c>
      <c r="M2" s="6" t="s">
        <v>19</v>
      </c>
      <c r="N2" s="419"/>
      <c r="O2" s="6" t="s">
        <v>14</v>
      </c>
      <c r="P2" s="5" t="s">
        <v>24</v>
      </c>
      <c r="Q2" s="6" t="s">
        <v>14</v>
      </c>
      <c r="R2" s="5" t="s">
        <v>24</v>
      </c>
      <c r="S2" s="6" t="s">
        <v>14</v>
      </c>
      <c r="T2" s="43"/>
      <c r="U2" s="419"/>
    </row>
    <row r="3" spans="1:21" x14ac:dyDescent="0.25">
      <c r="A3" s="11">
        <v>2002</v>
      </c>
      <c r="B3" s="21">
        <v>1928</v>
      </c>
      <c r="C3" s="22"/>
      <c r="D3" s="13"/>
      <c r="E3" s="27"/>
      <c r="F3" s="16"/>
      <c r="G3" s="21"/>
      <c r="H3" s="17"/>
      <c r="I3" s="21">
        <v>561</v>
      </c>
      <c r="J3" s="47"/>
      <c r="K3" s="21"/>
      <c r="L3" s="47"/>
      <c r="M3" s="62"/>
      <c r="N3" s="29">
        <f t="shared" ref="N3:N17" si="0">B3+E3+G3+I3+P3+M3</f>
        <v>2489</v>
      </c>
      <c r="O3" s="50"/>
      <c r="P3" s="27"/>
      <c r="Q3" s="57"/>
      <c r="R3" s="67"/>
      <c r="S3" s="57"/>
      <c r="T3" s="7"/>
      <c r="U3" s="44"/>
    </row>
    <row r="4" spans="1:21" x14ac:dyDescent="0.25">
      <c r="A4" s="11">
        <v>2003</v>
      </c>
      <c r="B4" s="21">
        <v>1724</v>
      </c>
      <c r="C4" s="22"/>
      <c r="D4" s="13"/>
      <c r="E4" s="27"/>
      <c r="F4" s="16"/>
      <c r="G4" s="21"/>
      <c r="H4" s="17"/>
      <c r="I4" s="21">
        <v>412</v>
      </c>
      <c r="J4" s="47"/>
      <c r="K4" s="21"/>
      <c r="L4" s="47"/>
      <c r="M4" s="62"/>
      <c r="N4" s="29">
        <f t="shared" si="0"/>
        <v>2136</v>
      </c>
      <c r="O4" s="50"/>
      <c r="P4" s="27"/>
      <c r="Q4" s="57"/>
      <c r="R4" s="67"/>
      <c r="S4" s="57"/>
      <c r="T4" s="7"/>
      <c r="U4" s="44"/>
    </row>
    <row r="5" spans="1:21" x14ac:dyDescent="0.25">
      <c r="A5" s="11">
        <v>2004</v>
      </c>
      <c r="B5" s="21">
        <v>1951</v>
      </c>
      <c r="C5" s="22"/>
      <c r="D5" s="13"/>
      <c r="E5" s="27"/>
      <c r="F5" s="16"/>
      <c r="G5" s="21"/>
      <c r="H5" s="17"/>
      <c r="I5" s="21">
        <v>290</v>
      </c>
      <c r="J5" s="47"/>
      <c r="K5" s="21"/>
      <c r="L5" s="47"/>
      <c r="M5" s="62"/>
      <c r="N5" s="29">
        <f t="shared" si="0"/>
        <v>2241</v>
      </c>
      <c r="O5" s="50"/>
      <c r="P5" s="27"/>
      <c r="Q5" s="57"/>
      <c r="R5" s="67"/>
      <c r="S5" s="57"/>
      <c r="T5" s="7"/>
      <c r="U5" s="44"/>
    </row>
    <row r="6" spans="1:21" x14ac:dyDescent="0.25">
      <c r="A6" s="11">
        <v>2005</v>
      </c>
      <c r="B6" s="21">
        <v>1913</v>
      </c>
      <c r="C6" s="22"/>
      <c r="D6" s="13"/>
      <c r="E6" s="27"/>
      <c r="F6" s="16"/>
      <c r="G6" s="21"/>
      <c r="H6" s="17"/>
      <c r="I6" s="21">
        <v>195</v>
      </c>
      <c r="J6" s="47"/>
      <c r="K6" s="21"/>
      <c r="L6" s="47"/>
      <c r="M6" s="62"/>
      <c r="N6" s="29">
        <f t="shared" si="0"/>
        <v>2108</v>
      </c>
      <c r="O6" s="50"/>
      <c r="P6" s="27"/>
      <c r="Q6" s="57"/>
      <c r="R6" s="67"/>
      <c r="S6" s="57"/>
      <c r="T6" s="7"/>
      <c r="U6" s="44"/>
    </row>
    <row r="7" spans="1:21" x14ac:dyDescent="0.25">
      <c r="A7" s="11">
        <v>2006</v>
      </c>
      <c r="B7" s="21">
        <v>1699</v>
      </c>
      <c r="C7" s="22"/>
      <c r="D7" s="13"/>
      <c r="E7" s="27"/>
      <c r="F7" s="16"/>
      <c r="G7" s="21"/>
      <c r="H7" s="17"/>
      <c r="I7" s="21">
        <v>435</v>
      </c>
      <c r="J7" s="47"/>
      <c r="K7" s="21"/>
      <c r="L7" s="47"/>
      <c r="M7" s="62"/>
      <c r="N7" s="29">
        <f t="shared" si="0"/>
        <v>2134</v>
      </c>
      <c r="O7" s="50"/>
      <c r="P7" s="27"/>
      <c r="Q7" s="57"/>
      <c r="R7" s="67"/>
      <c r="S7" s="57"/>
      <c r="T7" s="7"/>
      <c r="U7" s="44"/>
    </row>
    <row r="8" spans="1:21" x14ac:dyDescent="0.25">
      <c r="A8" s="11">
        <v>2007</v>
      </c>
      <c r="B8" s="21">
        <v>2023</v>
      </c>
      <c r="C8" s="22"/>
      <c r="D8" s="13"/>
      <c r="E8" s="27"/>
      <c r="F8" s="16"/>
      <c r="G8" s="21"/>
      <c r="H8" s="17"/>
      <c r="I8" s="21">
        <v>810</v>
      </c>
      <c r="J8" s="47"/>
      <c r="K8" s="21"/>
      <c r="L8" s="47"/>
      <c r="M8" s="62"/>
      <c r="N8" s="29">
        <f t="shared" si="0"/>
        <v>2833</v>
      </c>
      <c r="O8" s="50"/>
      <c r="P8" s="27"/>
      <c r="Q8" s="57"/>
      <c r="R8" s="67"/>
      <c r="S8" s="57"/>
      <c r="T8" s="7"/>
      <c r="U8" s="44"/>
    </row>
    <row r="9" spans="1:21" x14ac:dyDescent="0.25">
      <c r="A9" s="11">
        <v>2008</v>
      </c>
      <c r="B9" s="21">
        <v>3880</v>
      </c>
      <c r="C9" s="22"/>
      <c r="D9" s="13"/>
      <c r="E9" s="27"/>
      <c r="F9" s="16"/>
      <c r="G9" s="21"/>
      <c r="H9" s="17"/>
      <c r="I9" s="21">
        <v>830</v>
      </c>
      <c r="J9" s="47"/>
      <c r="K9" s="21"/>
      <c r="L9" s="47"/>
      <c r="M9" s="62"/>
      <c r="N9" s="29">
        <f t="shared" si="0"/>
        <v>4710</v>
      </c>
      <c r="O9" s="50"/>
      <c r="P9" s="27"/>
      <c r="Q9" s="57"/>
      <c r="R9" s="67"/>
      <c r="S9" s="57"/>
      <c r="T9" s="7"/>
      <c r="U9" s="44"/>
    </row>
    <row r="10" spans="1:21" x14ac:dyDescent="0.25">
      <c r="A10" s="11">
        <v>2009</v>
      </c>
      <c r="B10" s="21">
        <v>4500</v>
      </c>
      <c r="C10" s="22"/>
      <c r="D10" s="13"/>
      <c r="E10" s="27"/>
      <c r="F10" s="16"/>
      <c r="G10" s="21"/>
      <c r="H10" s="17"/>
      <c r="I10" s="21">
        <v>879</v>
      </c>
      <c r="J10" s="47"/>
      <c r="K10" s="21"/>
      <c r="L10" s="47"/>
      <c r="M10" s="62"/>
      <c r="N10" s="29">
        <f t="shared" si="0"/>
        <v>5379</v>
      </c>
      <c r="O10" s="50"/>
      <c r="P10" s="27"/>
      <c r="Q10" s="57"/>
      <c r="R10" s="67"/>
      <c r="S10" s="57"/>
      <c r="T10" s="7"/>
      <c r="U10" s="44"/>
    </row>
    <row r="11" spans="1:21" x14ac:dyDescent="0.25">
      <c r="A11" s="11">
        <v>2010</v>
      </c>
      <c r="B11" s="21">
        <v>3228</v>
      </c>
      <c r="C11" s="22"/>
      <c r="D11" s="13"/>
      <c r="E11" s="21">
        <v>310</v>
      </c>
      <c r="F11" s="17"/>
      <c r="G11" s="21"/>
      <c r="H11" s="17"/>
      <c r="I11" s="21">
        <v>610</v>
      </c>
      <c r="J11" s="47"/>
      <c r="K11" s="21"/>
      <c r="L11" s="47"/>
      <c r="M11" s="62"/>
      <c r="N11" s="29">
        <f t="shared" si="0"/>
        <v>4148</v>
      </c>
      <c r="O11" s="50"/>
      <c r="P11" s="27"/>
      <c r="Q11" s="57"/>
      <c r="R11" s="67"/>
      <c r="S11" s="57"/>
      <c r="T11" s="7"/>
      <c r="U11" s="44"/>
    </row>
    <row r="12" spans="1:21" x14ac:dyDescent="0.25">
      <c r="A12" s="11">
        <v>2011</v>
      </c>
      <c r="B12" s="21">
        <v>3522</v>
      </c>
      <c r="C12" s="22"/>
      <c r="D12" s="13"/>
      <c r="E12" s="21">
        <v>169</v>
      </c>
      <c r="F12" s="17"/>
      <c r="G12" s="21"/>
      <c r="H12" s="17"/>
      <c r="I12" s="21">
        <v>798</v>
      </c>
      <c r="J12" s="47"/>
      <c r="K12" s="21"/>
      <c r="L12" s="47"/>
      <c r="M12" s="62"/>
      <c r="N12" s="29">
        <f t="shared" si="0"/>
        <v>4489</v>
      </c>
      <c r="O12" s="50"/>
      <c r="P12" s="27"/>
      <c r="Q12" s="57"/>
      <c r="R12" s="67"/>
      <c r="S12" s="57"/>
      <c r="T12" s="7"/>
      <c r="U12" s="44"/>
    </row>
    <row r="13" spans="1:21" x14ac:dyDescent="0.25">
      <c r="A13" s="11">
        <v>2012</v>
      </c>
      <c r="B13" s="21">
        <v>3814</v>
      </c>
      <c r="C13" s="22"/>
      <c r="D13" s="13"/>
      <c r="E13" s="21">
        <v>263</v>
      </c>
      <c r="F13" s="17"/>
      <c r="G13" s="21">
        <v>410</v>
      </c>
      <c r="H13" s="17"/>
      <c r="I13" s="21">
        <v>663</v>
      </c>
      <c r="J13" s="47"/>
      <c r="K13" s="21"/>
      <c r="L13" s="47"/>
      <c r="M13" s="62"/>
      <c r="N13" s="29">
        <f t="shared" si="0"/>
        <v>5150</v>
      </c>
      <c r="O13" s="50"/>
      <c r="P13" s="27"/>
      <c r="Q13" s="57"/>
      <c r="R13" s="67"/>
      <c r="S13" s="57"/>
      <c r="T13" s="7"/>
      <c r="U13" s="44"/>
    </row>
    <row r="14" spans="1:21" x14ac:dyDescent="0.25">
      <c r="A14" s="11">
        <v>2013</v>
      </c>
      <c r="B14" s="21">
        <v>5010</v>
      </c>
      <c r="C14" s="22"/>
      <c r="D14" s="13"/>
      <c r="E14" s="21">
        <v>189</v>
      </c>
      <c r="F14" s="17"/>
      <c r="G14" s="21">
        <v>657</v>
      </c>
      <c r="H14" s="17"/>
      <c r="I14" s="21">
        <v>533</v>
      </c>
      <c r="J14" s="47"/>
      <c r="K14" s="21"/>
      <c r="L14" s="47"/>
      <c r="M14" s="62"/>
      <c r="N14" s="29">
        <f t="shared" si="0"/>
        <v>6389</v>
      </c>
      <c r="O14" s="50"/>
      <c r="P14" s="27"/>
      <c r="Q14" s="57"/>
      <c r="R14" s="67"/>
      <c r="S14" s="57"/>
      <c r="T14" s="7"/>
      <c r="U14" s="44"/>
    </row>
    <row r="15" spans="1:21" x14ac:dyDescent="0.25">
      <c r="A15" s="11">
        <v>2014</v>
      </c>
      <c r="B15" s="21">
        <v>6298</v>
      </c>
      <c r="C15" s="22"/>
      <c r="D15" s="56">
        <v>11093.06</v>
      </c>
      <c r="E15" s="21">
        <v>133</v>
      </c>
      <c r="F15" s="17"/>
      <c r="G15" s="21">
        <v>754</v>
      </c>
      <c r="H15" s="17"/>
      <c r="I15" s="21">
        <v>628</v>
      </c>
      <c r="J15" s="47"/>
      <c r="K15" s="21"/>
      <c r="L15" s="47"/>
      <c r="M15" s="62"/>
      <c r="N15" s="29">
        <f t="shared" si="0"/>
        <v>7813</v>
      </c>
      <c r="O15" s="50">
        <v>2268.9299999999998</v>
      </c>
      <c r="P15" s="27"/>
      <c r="Q15" s="57"/>
      <c r="R15" s="67"/>
      <c r="S15" s="57"/>
      <c r="T15" s="7"/>
      <c r="U15" s="44"/>
    </row>
    <row r="16" spans="1:21" x14ac:dyDescent="0.25">
      <c r="A16" s="11">
        <v>2015</v>
      </c>
      <c r="B16" s="21">
        <v>4169</v>
      </c>
      <c r="C16" s="22"/>
      <c r="D16" s="56">
        <v>7442.68</v>
      </c>
      <c r="E16" s="21">
        <v>275</v>
      </c>
      <c r="F16" s="17"/>
      <c r="G16" s="21">
        <v>1329</v>
      </c>
      <c r="H16" s="17"/>
      <c r="I16" s="21">
        <v>136</v>
      </c>
      <c r="J16" s="47"/>
      <c r="K16" s="21"/>
      <c r="L16" s="47"/>
      <c r="M16" s="62"/>
      <c r="N16" s="29">
        <f t="shared" si="0"/>
        <v>5909</v>
      </c>
      <c r="O16" s="50">
        <v>1464.66</v>
      </c>
      <c r="P16" s="27"/>
      <c r="Q16" s="57"/>
      <c r="R16" s="67"/>
      <c r="S16" s="57">
        <v>2830.5</v>
      </c>
      <c r="T16" s="7"/>
      <c r="U16" s="45">
        <f>D16+F16+H16</f>
        <v>7442.68</v>
      </c>
    </row>
    <row r="17" spans="1:21" x14ac:dyDescent="0.25">
      <c r="A17" s="11">
        <v>2016</v>
      </c>
      <c r="B17" s="21">
        <v>5647</v>
      </c>
      <c r="C17" s="22"/>
      <c r="D17" s="56">
        <v>12537.8</v>
      </c>
      <c r="E17" s="27"/>
      <c r="F17" s="16"/>
      <c r="G17" s="21"/>
      <c r="H17" s="17"/>
      <c r="I17" s="21">
        <v>742</v>
      </c>
      <c r="J17" s="47"/>
      <c r="K17" s="21"/>
      <c r="L17" s="47"/>
      <c r="M17" s="62"/>
      <c r="N17" s="29">
        <f t="shared" si="0"/>
        <v>6389</v>
      </c>
      <c r="O17" s="50">
        <v>3084.71</v>
      </c>
      <c r="P17" s="27"/>
      <c r="Q17" s="57"/>
      <c r="R17" s="67"/>
      <c r="S17" s="57">
        <v>4035.4</v>
      </c>
      <c r="T17" s="7"/>
      <c r="U17" s="45">
        <f>D17+F17+H17</f>
        <v>12537.8</v>
      </c>
    </row>
    <row r="18" spans="1:21" x14ac:dyDescent="0.25">
      <c r="A18" s="12">
        <v>2017</v>
      </c>
      <c r="B18" s="23">
        <v>4785</v>
      </c>
      <c r="C18" s="24"/>
      <c r="D18" s="14">
        <v>12468.25</v>
      </c>
      <c r="E18" s="23">
        <f>1700+102+647</f>
        <v>2449</v>
      </c>
      <c r="F18" s="18">
        <f>2704+1700</f>
        <v>4404</v>
      </c>
      <c r="G18" s="23">
        <v>2177</v>
      </c>
      <c r="H18" s="18">
        <v>5206</v>
      </c>
      <c r="I18" s="23">
        <v>295</v>
      </c>
      <c r="J18" s="48">
        <v>753</v>
      </c>
      <c r="K18" s="23">
        <v>485</v>
      </c>
      <c r="L18" s="48">
        <v>811</v>
      </c>
      <c r="M18" s="63">
        <v>3500</v>
      </c>
      <c r="N18" s="29">
        <f>B18+E18+G18+I18+M18</f>
        <v>13206</v>
      </c>
      <c r="O18" s="51">
        <v>2879.45</v>
      </c>
      <c r="P18" s="58">
        <f>57+8</f>
        <v>65</v>
      </c>
      <c r="Q18" s="59">
        <v>6779.7</v>
      </c>
      <c r="R18" s="66">
        <v>24</v>
      </c>
      <c r="S18" s="59">
        <v>3939.57</v>
      </c>
      <c r="T18" s="8"/>
      <c r="U18" s="45">
        <f>D18+F18+H18</f>
        <v>22078.25</v>
      </c>
    </row>
    <row r="19" spans="1:21" x14ac:dyDescent="0.25">
      <c r="A19" s="12">
        <v>2018</v>
      </c>
      <c r="B19" s="23">
        <v>6107</v>
      </c>
      <c r="C19" s="24">
        <v>164</v>
      </c>
      <c r="D19" s="14">
        <v>15799.25</v>
      </c>
      <c r="E19" s="23">
        <v>2839</v>
      </c>
      <c r="F19" s="17">
        <v>5595</v>
      </c>
      <c r="G19" s="23">
        <v>1736</v>
      </c>
      <c r="H19" s="18">
        <v>3831</v>
      </c>
      <c r="I19" s="23">
        <v>822</v>
      </c>
      <c r="J19" s="48">
        <v>2227</v>
      </c>
      <c r="K19" s="23">
        <v>325</v>
      </c>
      <c r="L19" s="48">
        <v>511</v>
      </c>
      <c r="M19" s="63">
        <v>2150</v>
      </c>
      <c r="N19" s="29">
        <f>B19+E19+G19+I19+M19</f>
        <v>13654</v>
      </c>
      <c r="O19" s="51">
        <v>3952.7</v>
      </c>
      <c r="P19" s="58">
        <v>86</v>
      </c>
      <c r="Q19" s="59">
        <v>12521.5</v>
      </c>
      <c r="R19" s="66">
        <v>20</v>
      </c>
      <c r="S19" s="59">
        <v>5358.44</v>
      </c>
      <c r="T19" s="8"/>
      <c r="U19" s="45">
        <f>D19+F19+H19</f>
        <v>25225.25</v>
      </c>
    </row>
    <row r="20" spans="1:21" ht="15.75" thickBot="1" x14ac:dyDescent="0.3">
      <c r="A20" s="11">
        <v>2019</v>
      </c>
      <c r="B20" s="25">
        <v>6317</v>
      </c>
      <c r="C20" s="26">
        <v>171</v>
      </c>
      <c r="D20" s="15">
        <v>18452.75</v>
      </c>
      <c r="E20" s="28">
        <v>2975</v>
      </c>
      <c r="F20" s="19">
        <v>6709</v>
      </c>
      <c r="G20" s="25">
        <v>4372</v>
      </c>
      <c r="H20" s="20">
        <v>9714</v>
      </c>
      <c r="I20" s="28">
        <v>1062</v>
      </c>
      <c r="J20" s="49">
        <v>2798</v>
      </c>
      <c r="K20" s="28">
        <v>256</v>
      </c>
      <c r="L20" s="49">
        <v>423.5</v>
      </c>
      <c r="M20" s="64">
        <v>808</v>
      </c>
      <c r="N20" s="41">
        <f>B20+E20+G20+I20+M20+K20</f>
        <v>15790</v>
      </c>
      <c r="O20" s="52">
        <v>2807.7499999999991</v>
      </c>
      <c r="P20" s="64">
        <f>39+29</f>
        <v>68</v>
      </c>
      <c r="Q20" s="52">
        <f>5537.57+7735.8</f>
        <v>13273.369999999999</v>
      </c>
      <c r="R20" s="28">
        <v>24</v>
      </c>
      <c r="S20" s="60">
        <v>4358</v>
      </c>
      <c r="T20" s="61"/>
      <c r="U20" s="46">
        <f>D20+F20+H20+J20+L20+Q20+S20</f>
        <v>55728.619999999995</v>
      </c>
    </row>
    <row r="21" spans="1:21" ht="15.75" thickBot="1" x14ac:dyDescent="0.3">
      <c r="A21" s="11">
        <v>2020</v>
      </c>
      <c r="B21" s="25">
        <f>'Evolució mensual_anys'!O96</f>
        <v>1675</v>
      </c>
      <c r="C21" s="26"/>
      <c r="D21" s="15">
        <f>'Evolució mensual_anys'!O104</f>
        <v>5763.5</v>
      </c>
      <c r="E21" s="28">
        <f>'Evolució mensual_anys'!O93</f>
        <v>805</v>
      </c>
      <c r="F21" s="19">
        <f>'Evolució mensual_anys'!O104</f>
        <v>5763.5</v>
      </c>
      <c r="G21" s="25">
        <f>'Evolució mensual_anys'!O92</f>
        <v>3200</v>
      </c>
      <c r="H21" s="20">
        <f>'Evolució mensual_anys'!O100</f>
        <v>7793</v>
      </c>
      <c r="I21" s="28">
        <f>'Evolució mensual_anys'!O94</f>
        <v>866</v>
      </c>
      <c r="J21" s="49">
        <f>'Evolució mensual_anys'!O102</f>
        <v>2292.5</v>
      </c>
      <c r="K21" s="28">
        <f>'Evolució mensual_anys'!O95</f>
        <v>136</v>
      </c>
      <c r="L21" s="49">
        <f>'Evolució mensual_anys'!O103</f>
        <v>235.5</v>
      </c>
      <c r="M21" s="64">
        <v>91</v>
      </c>
      <c r="N21" s="41">
        <f>B21+E21+G21+I21+M21+K21</f>
        <v>6773</v>
      </c>
      <c r="O21" s="52">
        <f>'Evolució mensual_anys'!O105+'Evolució mensual_anys'!O106</f>
        <v>918.55000000000007</v>
      </c>
      <c r="P21" s="64">
        <v>4</v>
      </c>
      <c r="Q21" s="52">
        <f>[5]Tallers!$H$7</f>
        <v>4655</v>
      </c>
      <c r="R21" s="28">
        <v>3</v>
      </c>
      <c r="S21" s="60">
        <v>1049.2</v>
      </c>
      <c r="T21" s="61"/>
      <c r="U21" s="46">
        <f>D21+F21+H21+J21+L21+Q21+S21</f>
        <v>27552.2</v>
      </c>
    </row>
    <row r="22" spans="1:21" x14ac:dyDescent="0.25">
      <c r="A22" s="119"/>
    </row>
    <row r="23" spans="1:21" x14ac:dyDescent="0.25">
      <c r="B23" s="65" t="s">
        <v>6</v>
      </c>
    </row>
    <row r="24" spans="1:21" x14ac:dyDescent="0.25">
      <c r="B24" s="1" t="s">
        <v>7</v>
      </c>
      <c r="C24" s="1"/>
      <c r="D24" s="1"/>
      <c r="P24" s="54"/>
      <c r="Q24" s="54"/>
      <c r="R24" s="54"/>
      <c r="S24" s="54"/>
    </row>
    <row r="25" spans="1:21" x14ac:dyDescent="0.25">
      <c r="B25" s="1" t="s">
        <v>8</v>
      </c>
      <c r="C25" s="1"/>
      <c r="D25" s="1"/>
    </row>
    <row r="26" spans="1:21" x14ac:dyDescent="0.25">
      <c r="B26" s="1" t="s">
        <v>11</v>
      </c>
      <c r="C26" s="1"/>
      <c r="D26" s="1"/>
    </row>
    <row r="27" spans="1:21" x14ac:dyDescent="0.25">
      <c r="B27" s="1" t="s">
        <v>9</v>
      </c>
      <c r="C27" s="1"/>
      <c r="D27" s="1"/>
    </row>
    <row r="28" spans="1:21" x14ac:dyDescent="0.25">
      <c r="B28" s="1" t="s">
        <v>10</v>
      </c>
      <c r="C28" s="1"/>
      <c r="D28" s="1"/>
    </row>
    <row r="30" spans="1:21" x14ac:dyDescent="0.25">
      <c r="B30" s="2" t="s">
        <v>12</v>
      </c>
      <c r="C30" s="2"/>
      <c r="D30" s="2"/>
    </row>
    <row r="31" spans="1:21" ht="15.75" thickBot="1" x14ac:dyDescent="0.3"/>
    <row r="32" spans="1:21" x14ac:dyDescent="0.25">
      <c r="C32" s="36"/>
      <c r="D32" s="421">
        <v>2017</v>
      </c>
      <c r="E32" s="421"/>
      <c r="F32" s="421">
        <v>2018</v>
      </c>
      <c r="G32" s="421"/>
      <c r="H32" s="421">
        <v>2019</v>
      </c>
      <c r="I32" s="425"/>
      <c r="J32" s="421">
        <v>2020</v>
      </c>
      <c r="K32" s="425"/>
      <c r="L32" s="421">
        <v>2021</v>
      </c>
      <c r="M32" s="425"/>
      <c r="O32" s="30"/>
    </row>
    <row r="33" spans="3:15" x14ac:dyDescent="0.25">
      <c r="C33" s="37"/>
      <c r="D33" s="32" t="s">
        <v>15</v>
      </c>
      <c r="E33" s="33" t="s">
        <v>16</v>
      </c>
      <c r="F33" s="32" t="s">
        <v>15</v>
      </c>
      <c r="G33" s="33" t="s">
        <v>16</v>
      </c>
      <c r="H33" s="32" t="s">
        <v>15</v>
      </c>
      <c r="I33" s="38" t="s">
        <v>16</v>
      </c>
      <c r="J33" s="32" t="s">
        <v>15</v>
      </c>
      <c r="K33" s="38" t="s">
        <v>16</v>
      </c>
      <c r="L33" s="32" t="s">
        <v>15</v>
      </c>
      <c r="M33" s="38" t="s">
        <v>16</v>
      </c>
    </row>
    <row r="34" spans="3:15" ht="45" x14ac:dyDescent="0.25">
      <c r="C34" s="39" t="s">
        <v>17</v>
      </c>
      <c r="D34" s="34">
        <v>0.65815423514538562</v>
      </c>
      <c r="E34" s="55">
        <v>2.3913642627468996</v>
      </c>
      <c r="F34" s="34">
        <v>0.40639753859211714</v>
      </c>
      <c r="G34" s="35">
        <v>2.2065092165898617</v>
      </c>
      <c r="H34" s="34">
        <v>0.59133824693914849</v>
      </c>
      <c r="I34" s="40">
        <v>2.2200000000000002</v>
      </c>
      <c r="J34" s="34">
        <v>0.78122380553227155</v>
      </c>
      <c r="K34" s="40">
        <v>2.6587982832618025</v>
      </c>
      <c r="L34" s="34"/>
      <c r="M34" s="40"/>
      <c r="O34" s="31"/>
    </row>
    <row r="35" spans="3:15" ht="33.75" x14ac:dyDescent="0.25">
      <c r="C35" s="39" t="s">
        <v>18</v>
      </c>
      <c r="D35" s="34">
        <v>0.34184576485461443</v>
      </c>
      <c r="E35" s="55">
        <v>3.8138222849083214</v>
      </c>
      <c r="F35" s="34">
        <v>0.59360246140788286</v>
      </c>
      <c r="G35" s="35">
        <v>1.9707643536456498</v>
      </c>
      <c r="H35" s="34">
        <v>0.40866175306085156</v>
      </c>
      <c r="I35" s="40">
        <v>2.25</v>
      </c>
      <c r="J35" s="34">
        <v>0.21877619446772842</v>
      </c>
      <c r="K35" s="40">
        <v>4.3218390804597702</v>
      </c>
      <c r="L35" s="34"/>
      <c r="M35" s="40"/>
      <c r="O35" s="31"/>
    </row>
    <row r="36" spans="3:15" x14ac:dyDescent="0.25">
      <c r="H36" s="30" t="s">
        <v>23</v>
      </c>
      <c r="I36" s="30"/>
    </row>
    <row r="37" spans="3:15" x14ac:dyDescent="0.25">
      <c r="H37" s="53" t="s">
        <v>60</v>
      </c>
      <c r="I37" s="53">
        <v>883</v>
      </c>
      <c r="J37" s="53"/>
    </row>
  </sheetData>
  <mergeCells count="14">
    <mergeCell ref="U1:U2"/>
    <mergeCell ref="I1:J1"/>
    <mergeCell ref="K1:L1"/>
    <mergeCell ref="D32:E32"/>
    <mergeCell ref="P1:Q1"/>
    <mergeCell ref="R1:S1"/>
    <mergeCell ref="B1:D1"/>
    <mergeCell ref="G1:H1"/>
    <mergeCell ref="E1:F1"/>
    <mergeCell ref="F32:G32"/>
    <mergeCell ref="H32:I32"/>
    <mergeCell ref="J32:K32"/>
    <mergeCell ref="N1:N2"/>
    <mergeCell ref="L32:M32"/>
  </mergeCells>
  <phoneticPr fontId="0" type="noConversion"/>
  <pageMargins left="0.7" right="0.7" top="0.75" bottom="0.75" header="0.3" footer="0.3"/>
  <pageSetup paperSize="9" orientation="landscape" horizontalDpi="4294967293" verticalDpi="4294967293"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6D9A-740F-46D9-B84A-1C9A167EE8B3}">
  <dimension ref="A1:E33"/>
  <sheetViews>
    <sheetView topLeftCell="A10" workbookViewId="0">
      <selection sqref="A1:E33"/>
    </sheetView>
  </sheetViews>
  <sheetFormatPr defaultColWidth="9.140625" defaultRowHeight="15" x14ac:dyDescent="0.25"/>
  <cols>
    <col min="1" max="1" width="20.85546875" customWidth="1"/>
    <col min="2" max="2" width="20.7109375" bestFit="1" customWidth="1"/>
    <col min="3" max="4" width="12" style="364" bestFit="1" customWidth="1"/>
    <col min="5" max="5" width="13.42578125" style="84" bestFit="1" customWidth="1"/>
  </cols>
  <sheetData>
    <row r="1" spans="1:5" ht="15.75" thickBot="1" x14ac:dyDescent="0.3">
      <c r="A1" s="398"/>
      <c r="B1" s="399"/>
      <c r="C1" s="356">
        <v>2019</v>
      </c>
      <c r="D1" s="356">
        <v>2022</v>
      </c>
      <c r="E1" s="356" t="s">
        <v>89</v>
      </c>
    </row>
    <row r="2" spans="1:5" x14ac:dyDescent="0.25">
      <c r="A2" s="402" t="s">
        <v>48</v>
      </c>
      <c r="B2" s="74" t="s">
        <v>47</v>
      </c>
      <c r="C2" s="360">
        <v>523</v>
      </c>
      <c r="D2" s="357">
        <v>1961</v>
      </c>
      <c r="E2" s="370">
        <f>(D2-C2)/C2</f>
        <v>2.7495219885277247</v>
      </c>
    </row>
    <row r="3" spans="1:5" ht="15.75" thickBot="1" x14ac:dyDescent="0.3">
      <c r="A3" s="397"/>
      <c r="B3" s="76" t="s">
        <v>55</v>
      </c>
      <c r="C3" s="361">
        <v>5658</v>
      </c>
      <c r="D3" s="358">
        <v>4439</v>
      </c>
      <c r="E3" s="371">
        <f>(D3-C3)/C3</f>
        <v>-0.21544715447154472</v>
      </c>
    </row>
    <row r="4" spans="1:5" x14ac:dyDescent="0.25">
      <c r="A4" s="354"/>
      <c r="B4" s="196"/>
      <c r="C4" s="362">
        <v>6181</v>
      </c>
      <c r="D4" s="362">
        <v>6400</v>
      </c>
      <c r="E4" s="372">
        <f t="shared" ref="E4:E33" si="0">(D4-C4)/C4</f>
        <v>3.5431160006471445E-2</v>
      </c>
    </row>
    <row r="5" spans="1:5" ht="15.75" thickBot="1" x14ac:dyDescent="0.3">
      <c r="C5" s="363"/>
      <c r="D5" s="363"/>
    </row>
    <row r="6" spans="1:5" x14ac:dyDescent="0.25">
      <c r="A6" s="383" t="s">
        <v>30</v>
      </c>
      <c r="B6" s="125" t="s">
        <v>27</v>
      </c>
      <c r="C6" s="360">
        <v>4462</v>
      </c>
      <c r="D6" s="357">
        <v>5876</v>
      </c>
      <c r="E6" s="370">
        <f t="shared" si="0"/>
        <v>0.31689825190497534</v>
      </c>
    </row>
    <row r="7" spans="1:5" x14ac:dyDescent="0.25">
      <c r="A7" s="384"/>
      <c r="B7" s="126" t="s">
        <v>45</v>
      </c>
      <c r="C7" s="362">
        <v>2975</v>
      </c>
      <c r="D7" s="359">
        <v>1682</v>
      </c>
      <c r="E7" s="373">
        <f t="shared" si="0"/>
        <v>-0.43462184873949578</v>
      </c>
    </row>
    <row r="8" spans="1:5" x14ac:dyDescent="0.25">
      <c r="A8" s="384"/>
      <c r="B8" s="126" t="s">
        <v>28</v>
      </c>
      <c r="C8" s="362">
        <v>1062</v>
      </c>
      <c r="D8" s="359">
        <v>1608</v>
      </c>
      <c r="E8" s="373">
        <f t="shared" si="0"/>
        <v>0.51412429378531077</v>
      </c>
    </row>
    <row r="9" spans="1:5" x14ac:dyDescent="0.25">
      <c r="A9" s="384"/>
      <c r="B9" s="126" t="s">
        <v>29</v>
      </c>
      <c r="C9" s="362">
        <v>256</v>
      </c>
      <c r="D9" s="359">
        <v>125</v>
      </c>
      <c r="E9" s="373">
        <f t="shared" si="0"/>
        <v>-0.51171875</v>
      </c>
    </row>
    <row r="10" spans="1:5" x14ac:dyDescent="0.25">
      <c r="A10" s="384"/>
      <c r="B10" s="126" t="s">
        <v>46</v>
      </c>
      <c r="C10" s="362">
        <v>6299</v>
      </c>
      <c r="D10" s="359">
        <v>4516</v>
      </c>
      <c r="E10" s="373">
        <f t="shared" si="0"/>
        <v>-0.28306080330211142</v>
      </c>
    </row>
    <row r="11" spans="1:5" x14ac:dyDescent="0.25">
      <c r="A11" s="384"/>
      <c r="B11" s="71" t="s">
        <v>63</v>
      </c>
      <c r="C11" s="362"/>
      <c r="D11" s="359">
        <v>58</v>
      </c>
      <c r="E11" s="373">
        <v>1</v>
      </c>
    </row>
    <row r="12" spans="1:5" ht="15.75" thickBot="1" x14ac:dyDescent="0.3">
      <c r="A12" s="385"/>
      <c r="B12" s="127" t="s">
        <v>75</v>
      </c>
      <c r="C12" s="361">
        <v>883</v>
      </c>
      <c r="D12" s="358">
        <v>368</v>
      </c>
      <c r="E12" s="371">
        <f t="shared" si="0"/>
        <v>-0.58323895809739523</v>
      </c>
    </row>
    <row r="13" spans="1:5" x14ac:dyDescent="0.25">
      <c r="A13" s="354"/>
      <c r="B13" s="200"/>
      <c r="C13" s="362">
        <v>15937</v>
      </c>
      <c r="D13" s="362">
        <v>14233</v>
      </c>
      <c r="E13" s="372">
        <f t="shared" si="0"/>
        <v>-0.10692100144318253</v>
      </c>
    </row>
    <row r="14" spans="1:5" ht="15.75" thickBot="1" x14ac:dyDescent="0.3"/>
    <row r="15" spans="1:5" x14ac:dyDescent="0.25">
      <c r="A15" s="383" t="s">
        <v>31</v>
      </c>
      <c r="B15" s="125" t="s">
        <v>27</v>
      </c>
      <c r="C15" s="365">
        <v>9708</v>
      </c>
      <c r="D15" s="365">
        <v>17790.899999999998</v>
      </c>
      <c r="E15" s="370">
        <f t="shared" si="0"/>
        <v>0.83260197775030875</v>
      </c>
    </row>
    <row r="16" spans="1:5" x14ac:dyDescent="0.25">
      <c r="A16" s="384"/>
      <c r="B16" s="126" t="s">
        <v>45</v>
      </c>
      <c r="C16" s="366">
        <v>6709</v>
      </c>
      <c r="D16" s="366">
        <v>9107.6999999999989</v>
      </c>
      <c r="E16" s="373">
        <f t="shared" si="0"/>
        <v>0.35753465494112369</v>
      </c>
    </row>
    <row r="17" spans="1:5" x14ac:dyDescent="0.25">
      <c r="A17" s="384"/>
      <c r="B17" s="126" t="s">
        <v>28</v>
      </c>
      <c r="C17" s="366">
        <v>2798</v>
      </c>
      <c r="D17" s="366">
        <v>4081.21</v>
      </c>
      <c r="E17" s="373">
        <f t="shared" si="0"/>
        <v>0.45861686919228023</v>
      </c>
    </row>
    <row r="18" spans="1:5" x14ac:dyDescent="0.25">
      <c r="A18" s="384"/>
      <c r="B18" s="126" t="s">
        <v>29</v>
      </c>
      <c r="C18" s="366">
        <v>423.5</v>
      </c>
      <c r="D18" s="366">
        <v>212.5</v>
      </c>
      <c r="E18" s="373">
        <f t="shared" si="0"/>
        <v>-0.49822904368358911</v>
      </c>
    </row>
    <row r="19" spans="1:5" x14ac:dyDescent="0.25">
      <c r="A19" s="384"/>
      <c r="B19" s="126" t="s">
        <v>46</v>
      </c>
      <c r="C19" s="366">
        <v>18157.55</v>
      </c>
      <c r="D19" s="366">
        <v>18121</v>
      </c>
      <c r="E19" s="373">
        <f t="shared" si="0"/>
        <v>-2.0129367673501807E-3</v>
      </c>
    </row>
    <row r="20" spans="1:5" x14ac:dyDescent="0.25">
      <c r="A20" s="384"/>
      <c r="B20" s="71" t="s">
        <v>63</v>
      </c>
      <c r="C20" s="366"/>
      <c r="D20" s="366">
        <v>283.94</v>
      </c>
      <c r="E20" s="373">
        <v>1</v>
      </c>
    </row>
    <row r="21" spans="1:5" x14ac:dyDescent="0.25">
      <c r="A21" s="384"/>
      <c r="B21" s="71" t="s">
        <v>75</v>
      </c>
      <c r="C21" s="366"/>
      <c r="D21" s="366">
        <v>2583</v>
      </c>
      <c r="E21" s="373">
        <v>1</v>
      </c>
    </row>
    <row r="22" spans="1:5" x14ac:dyDescent="0.25">
      <c r="A22" s="384"/>
      <c r="B22" s="126" t="s">
        <v>53</v>
      </c>
      <c r="C22" s="366">
        <v>801.7</v>
      </c>
      <c r="D22" s="366">
        <v>656.6</v>
      </c>
      <c r="E22" s="373">
        <f t="shared" si="0"/>
        <v>-0.18099039540975428</v>
      </c>
    </row>
    <row r="23" spans="1:5" ht="15.75" thickBot="1" x14ac:dyDescent="0.3">
      <c r="A23" s="385"/>
      <c r="B23" s="127" t="s">
        <v>50</v>
      </c>
      <c r="C23" s="367">
        <v>2822.7499999999995</v>
      </c>
      <c r="D23" s="367">
        <v>615.5</v>
      </c>
      <c r="E23" s="371">
        <f t="shared" si="0"/>
        <v>-0.78195022584359219</v>
      </c>
    </row>
    <row r="24" spans="1:5" x14ac:dyDescent="0.25">
      <c r="A24" s="354"/>
      <c r="B24" s="200"/>
      <c r="C24" s="366">
        <v>41420.5</v>
      </c>
      <c r="D24" s="366">
        <v>53452.35</v>
      </c>
      <c r="E24" s="372">
        <f t="shared" si="0"/>
        <v>0.2904805591434193</v>
      </c>
    </row>
    <row r="25" spans="1:5" ht="15.75" thickBot="1" x14ac:dyDescent="0.3"/>
    <row r="26" spans="1:5" x14ac:dyDescent="0.25">
      <c r="A26" s="402" t="s">
        <v>16</v>
      </c>
      <c r="B26" s="125" t="s">
        <v>27</v>
      </c>
      <c r="C26" s="365">
        <v>2.1757059614522634</v>
      </c>
      <c r="D26" s="365">
        <v>3.0277229407760378</v>
      </c>
      <c r="E26" s="370">
        <f t="shared" si="0"/>
        <v>0.3916048374271407</v>
      </c>
    </row>
    <row r="27" spans="1:5" x14ac:dyDescent="0.25">
      <c r="A27" s="396"/>
      <c r="B27" s="126" t="s">
        <v>45</v>
      </c>
      <c r="C27" s="366">
        <v>2.2551260504201682</v>
      </c>
      <c r="D27" s="366">
        <v>5.4148038049940537</v>
      </c>
      <c r="E27" s="373">
        <f t="shared" si="0"/>
        <v>1.4011091548453285</v>
      </c>
    </row>
    <row r="28" spans="1:5" x14ac:dyDescent="0.25">
      <c r="A28" s="396"/>
      <c r="B28" s="126" t="s">
        <v>28</v>
      </c>
      <c r="C28" s="366">
        <v>2.6346516007532959</v>
      </c>
      <c r="D28" s="366">
        <v>2.5380659203980098</v>
      </c>
      <c r="E28" s="373">
        <f t="shared" si="0"/>
        <v>-3.6659754302113566E-2</v>
      </c>
    </row>
    <row r="29" spans="1:5" x14ac:dyDescent="0.25">
      <c r="A29" s="396"/>
      <c r="B29" s="126" t="s">
        <v>29</v>
      </c>
      <c r="C29" s="366">
        <v>1.654296875</v>
      </c>
      <c r="D29" s="366">
        <v>1.7</v>
      </c>
      <c r="E29" s="373">
        <f t="shared" si="0"/>
        <v>2.7626918536009418E-2</v>
      </c>
    </row>
    <row r="30" spans="1:5" x14ac:dyDescent="0.25">
      <c r="A30" s="396"/>
      <c r="B30" s="126" t="s">
        <v>63</v>
      </c>
      <c r="C30" s="366"/>
      <c r="D30" s="366">
        <v>4.0126217891939771</v>
      </c>
      <c r="E30" s="373">
        <v>1</v>
      </c>
    </row>
    <row r="31" spans="1:5" x14ac:dyDescent="0.25">
      <c r="A31" s="396"/>
      <c r="B31" s="126" t="s">
        <v>46</v>
      </c>
      <c r="C31" s="366">
        <v>2.8826083505318305</v>
      </c>
      <c r="D31" s="366">
        <v>4.8955172413793102</v>
      </c>
      <c r="E31" s="373">
        <f t="shared" si="0"/>
        <v>0.69829426896515634</v>
      </c>
    </row>
    <row r="32" spans="1:5" ht="15.75" thickBot="1" x14ac:dyDescent="0.3">
      <c r="A32" s="397"/>
      <c r="B32" s="127" t="s">
        <v>75</v>
      </c>
      <c r="C32" s="367"/>
      <c r="D32" s="367">
        <v>7.0190217391304346</v>
      </c>
      <c r="E32" s="371">
        <v>1</v>
      </c>
    </row>
    <row r="33" spans="3:5" x14ac:dyDescent="0.25">
      <c r="C33" s="368">
        <v>2.3204777676315116</v>
      </c>
      <c r="D33" s="368">
        <v>4.0868219194102604</v>
      </c>
      <c r="E33" s="372">
        <f t="shared" si="0"/>
        <v>0.76119848094112041</v>
      </c>
    </row>
  </sheetData>
  <mergeCells count="5">
    <mergeCell ref="A6:A12"/>
    <mergeCell ref="A15:A23"/>
    <mergeCell ref="A26:A32"/>
    <mergeCell ref="A1:B1"/>
    <mergeCell ref="A2:A3"/>
  </mergeCells>
  <phoneticPr fontId="2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9</vt:i4>
      </vt:variant>
      <vt:variant>
        <vt:lpstr>Intervals amb nom</vt:lpstr>
      </vt:variant>
      <vt:variant>
        <vt:i4>1</vt:i4>
      </vt:variant>
    </vt:vector>
  </HeadingPairs>
  <TitlesOfParts>
    <vt:vector size="10" baseType="lpstr">
      <vt:lpstr>Resum</vt:lpstr>
      <vt:lpstr>Evolució Anual</vt:lpstr>
      <vt:lpstr>Evolució mensual_anys</vt:lpstr>
      <vt:lpstr>Vendes Tiqets</vt:lpstr>
      <vt:lpstr>gràfiques</vt:lpstr>
      <vt:lpstr>Enq satisf gràfics</vt:lpstr>
      <vt:lpstr>Enq satisf dades</vt:lpstr>
      <vt:lpstr>Productes turístics</vt:lpstr>
      <vt:lpstr>Variació 2019-2022</vt:lpstr>
      <vt:lpstr>Resum!Àrea_d'impressió</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Amargant</dc:creator>
  <cp:lastModifiedBy>Centre Domus Sent Sovi</cp:lastModifiedBy>
  <cp:lastPrinted>2023-01-10T10:57:30Z</cp:lastPrinted>
  <dcterms:created xsi:type="dcterms:W3CDTF">2018-01-05T11:55:24Z</dcterms:created>
  <dcterms:modified xsi:type="dcterms:W3CDTF">2023-11-07T08:46:33Z</dcterms:modified>
</cp:coreProperties>
</file>