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M:\H100 PROMOCIÓ ECONÒMICA\H101 Desenvolupament territorial\H102 Turisme\H104a Oficina de Turisme\22-05 Estadístiques\"/>
    </mc:Choice>
  </mc:AlternateContent>
  <xr:revisionPtr revIDLastSave="0" documentId="13_ncr:1_{BAD060AB-1A35-4838-BA37-D42DDB62BAC7}" xr6:coauthVersionLast="45" xr6:coauthVersionMax="45" xr10:uidLastSave="{00000000-0000-0000-0000-000000000000}"/>
  <bookViews>
    <workbookView xWindow="-120" yWindow="-120" windowWidth="21840" windowHeight="13140" firstSheet="2" activeTab="3" xr2:uid="{00000000-000D-0000-FFFF-FFFF00000000}"/>
  </bookViews>
  <sheets>
    <sheet name="Mensual polítics" sheetId="6" r:id="rId1"/>
    <sheet name="Increments anuals" sheetId="7" r:id="rId2"/>
    <sheet name="RESUM" sheetId="5" r:id="rId3"/>
    <sheet name="Evolució mensual_anys" sheetId="3" r:id="rId4"/>
    <sheet name="gràfiques" sheetId="9" r:id="rId5"/>
    <sheet name="Comparativa estiu-any" sheetId="8" r:id="rId6"/>
    <sheet name="Vendes Tiqets" sheetId="4" r:id="rId7"/>
    <sheet name="Productes turístics" sheetId="1" r:id="rId8"/>
    <sheet name="Atenció turística" sheetId="2" r:id="rId9"/>
  </sheets>
  <externalReferences>
    <externalReference r:id="rId10"/>
    <externalReference r:id="rId11"/>
    <externalReference r:id="rId12"/>
    <externalReference r:id="rId13"/>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5" i="3" l="1"/>
  <c r="R9" i="3" s="1"/>
  <c r="R123" i="3"/>
  <c r="R114" i="3"/>
  <c r="R100" i="3"/>
  <c r="R91" i="3"/>
  <c r="R77" i="3"/>
  <c r="R68" i="3"/>
  <c r="R43" i="3"/>
  <c r="R54" i="3"/>
  <c r="R27" i="3"/>
  <c r="S9" i="3" s="1"/>
  <c r="R23" i="3"/>
  <c r="R10" i="3"/>
  <c r="R11" i="3"/>
  <c r="R12" i="3"/>
  <c r="R14" i="3"/>
  <c r="R8" i="3"/>
  <c r="R19" i="3"/>
  <c r="R20" i="3"/>
  <c r="R21" i="3"/>
  <c r="R22" i="3"/>
  <c r="R24" i="3"/>
  <c r="R18" i="3"/>
  <c r="Q14" i="3"/>
  <c r="Q13" i="3"/>
  <c r="Q12" i="3"/>
  <c r="Q11" i="3"/>
  <c r="Q10" i="3"/>
  <c r="Q9" i="3"/>
  <c r="Q8" i="3"/>
  <c r="Q4" i="3"/>
  <c r="Q5" i="3"/>
  <c r="Q3" i="3"/>
  <c r="R13" i="3" l="1"/>
  <c r="S11" i="3"/>
  <c r="S12" i="3"/>
  <c r="S13" i="3"/>
  <c r="S14" i="3"/>
  <c r="S10" i="3"/>
  <c r="S8" i="3"/>
  <c r="S15" i="3" l="1"/>
  <c r="N15" i="4" l="1"/>
  <c r="N6" i="4"/>
  <c r="O12" i="3"/>
  <c r="O24" i="3"/>
  <c r="Q24" i="3" l="1"/>
  <c r="O33" i="5" s="1"/>
  <c r="O22" i="5"/>
  <c r="O11" i="5"/>
  <c r="D123" i="3"/>
  <c r="C15" i="9" s="1"/>
  <c r="E123" i="3"/>
  <c r="D15" i="9" s="1"/>
  <c r="F123" i="3"/>
  <c r="E15" i="9" s="1"/>
  <c r="G123" i="3"/>
  <c r="F15" i="9" s="1"/>
  <c r="H123" i="3"/>
  <c r="G15" i="9" s="1"/>
  <c r="I123" i="3"/>
  <c r="H15" i="9" s="1"/>
  <c r="J123" i="3"/>
  <c r="I15" i="9" s="1"/>
  <c r="K123" i="3"/>
  <c r="J15" i="9" s="1"/>
  <c r="L123" i="3"/>
  <c r="K15" i="9" s="1"/>
  <c r="M123" i="3"/>
  <c r="L15" i="9" s="1"/>
  <c r="N123" i="3"/>
  <c r="M15" i="9" s="1"/>
  <c r="C123" i="3"/>
  <c r="B15" i="9" s="1"/>
  <c r="D114" i="3"/>
  <c r="E114" i="3"/>
  <c r="F114" i="3"/>
  <c r="G114" i="3"/>
  <c r="H114" i="3"/>
  <c r="I114" i="3"/>
  <c r="J114" i="3"/>
  <c r="K114" i="3"/>
  <c r="L114" i="3"/>
  <c r="M114" i="3"/>
  <c r="N114" i="3"/>
  <c r="C114" i="3"/>
  <c r="D106" i="3"/>
  <c r="E106" i="3"/>
  <c r="F106" i="3"/>
  <c r="G106" i="3"/>
  <c r="H106" i="3"/>
  <c r="I106" i="3"/>
  <c r="J106" i="3"/>
  <c r="K106" i="3"/>
  <c r="L106" i="3"/>
  <c r="M106" i="3"/>
  <c r="N106" i="3"/>
  <c r="C106" i="3"/>
  <c r="D83" i="3"/>
  <c r="C22" i="9" s="1"/>
  <c r="E83" i="3"/>
  <c r="D22" i="9" s="1"/>
  <c r="F83" i="3"/>
  <c r="E22" i="9" s="1"/>
  <c r="G83" i="3"/>
  <c r="F22" i="9" s="1"/>
  <c r="H83" i="3"/>
  <c r="G22" i="9" s="1"/>
  <c r="I83" i="3"/>
  <c r="H22" i="9" s="1"/>
  <c r="J83" i="3"/>
  <c r="I22" i="9" s="1"/>
  <c r="K83" i="3"/>
  <c r="J22" i="9" s="1"/>
  <c r="L83" i="3"/>
  <c r="K22" i="9" s="1"/>
  <c r="M83" i="3"/>
  <c r="L22" i="9" s="1"/>
  <c r="N83" i="3"/>
  <c r="M22" i="9" s="1"/>
  <c r="C83" i="3"/>
  <c r="B22" i="9" s="1"/>
  <c r="D60" i="3"/>
  <c r="C21" i="9" s="1"/>
  <c r="E60" i="3"/>
  <c r="D21" i="9" s="1"/>
  <c r="F60" i="3"/>
  <c r="E21" i="9" s="1"/>
  <c r="G60" i="3"/>
  <c r="F21" i="9" s="1"/>
  <c r="H60" i="3"/>
  <c r="G21" i="9" s="1"/>
  <c r="I60" i="3"/>
  <c r="H21" i="9" s="1"/>
  <c r="J60" i="3"/>
  <c r="I21" i="9" s="1"/>
  <c r="K60" i="3"/>
  <c r="J21" i="9" s="1"/>
  <c r="L60" i="3"/>
  <c r="K21" i="9" s="1"/>
  <c r="M60" i="3"/>
  <c r="L21" i="9" s="1"/>
  <c r="C60" i="3"/>
  <c r="B21" i="9" s="1"/>
  <c r="G23" i="9" l="1"/>
  <c r="G7" i="9"/>
  <c r="C23" i="9"/>
  <c r="C7" i="9"/>
  <c r="N22" i="9"/>
  <c r="J23" i="9"/>
  <c r="J7" i="9"/>
  <c r="K23" i="9"/>
  <c r="K7" i="9"/>
  <c r="B23" i="9"/>
  <c r="B7" i="9"/>
  <c r="F23" i="9"/>
  <c r="F7" i="9"/>
  <c r="N15" i="9"/>
  <c r="M23" i="9"/>
  <c r="M7" i="9"/>
  <c r="I23" i="9"/>
  <c r="I7" i="9"/>
  <c r="E23" i="9"/>
  <c r="E7" i="9"/>
  <c r="L23" i="9"/>
  <c r="L7" i="9"/>
  <c r="H23" i="9"/>
  <c r="H7" i="9"/>
  <c r="D23" i="9"/>
  <c r="D7" i="9"/>
  <c r="M33" i="4"/>
  <c r="L33" i="4"/>
  <c r="K33" i="4"/>
  <c r="J33" i="4"/>
  <c r="I33" i="4"/>
  <c r="C33" i="4"/>
  <c r="B33" i="4"/>
  <c r="M25" i="4"/>
  <c r="L25" i="4"/>
  <c r="K25" i="4"/>
  <c r="J25" i="4"/>
  <c r="I25" i="4"/>
  <c r="E25" i="4"/>
  <c r="D25" i="4"/>
  <c r="C25" i="4"/>
  <c r="B25" i="4"/>
  <c r="M17" i="4"/>
  <c r="L17" i="4"/>
  <c r="K17" i="4"/>
  <c r="J17" i="4"/>
  <c r="I17" i="4"/>
  <c r="H17" i="4"/>
  <c r="G17" i="4"/>
  <c r="F17" i="4"/>
  <c r="E17" i="4"/>
  <c r="D17" i="4"/>
  <c r="C17" i="4"/>
  <c r="B17" i="4"/>
  <c r="C8" i="4"/>
  <c r="D8" i="4"/>
  <c r="E8" i="4"/>
  <c r="F8" i="4"/>
  <c r="G8" i="4"/>
  <c r="H8" i="4"/>
  <c r="I8" i="4"/>
  <c r="J8" i="4"/>
  <c r="K8" i="4"/>
  <c r="L8" i="4"/>
  <c r="M8" i="4"/>
  <c r="B8" i="4"/>
  <c r="N23" i="9" l="1"/>
  <c r="N7" i="9"/>
  <c r="E100" i="3"/>
  <c r="D14" i="9" s="1"/>
  <c r="F100" i="3"/>
  <c r="E14" i="9" s="1"/>
  <c r="G100" i="3"/>
  <c r="F14" i="9" s="1"/>
  <c r="H100" i="3"/>
  <c r="G14" i="9" s="1"/>
  <c r="I100" i="3"/>
  <c r="H14" i="9" s="1"/>
  <c r="L100" i="3"/>
  <c r="K14" i="9" s="1"/>
  <c r="M100" i="3"/>
  <c r="L14" i="9" s="1"/>
  <c r="N100" i="3"/>
  <c r="M14" i="9" s="1"/>
  <c r="C100" i="3"/>
  <c r="B14" i="9" s="1"/>
  <c r="N16" i="4" l="1"/>
  <c r="N14" i="4"/>
  <c r="N7" i="4"/>
  <c r="N5" i="4"/>
  <c r="N4" i="4"/>
  <c r="M27" i="3"/>
  <c r="L11" i="9" s="1"/>
  <c r="L27" i="3"/>
  <c r="K11" i="9" s="1"/>
  <c r="K27" i="3"/>
  <c r="J11" i="9" s="1"/>
  <c r="J27" i="3"/>
  <c r="I11" i="9" s="1"/>
  <c r="I27" i="3"/>
  <c r="H11" i="9" s="1"/>
  <c r="E27" i="3"/>
  <c r="D11" i="9" s="1"/>
  <c r="C27" i="3"/>
  <c r="B11" i="9" s="1"/>
  <c r="O26" i="3"/>
  <c r="O25" i="3"/>
  <c r="O23" i="3"/>
  <c r="D27" i="3"/>
  <c r="C11" i="9" s="1"/>
  <c r="O21" i="3"/>
  <c r="O20" i="3"/>
  <c r="O19" i="3"/>
  <c r="G27" i="3"/>
  <c r="F11" i="9" s="1"/>
  <c r="O18" i="3"/>
  <c r="M15" i="3"/>
  <c r="L3" i="9" s="1"/>
  <c r="L15" i="3"/>
  <c r="K3" i="9" s="1"/>
  <c r="K15" i="3"/>
  <c r="J3" i="9" s="1"/>
  <c r="J15" i="3"/>
  <c r="I3" i="9" s="1"/>
  <c r="I15" i="3"/>
  <c r="H3" i="9" s="1"/>
  <c r="H15" i="3"/>
  <c r="G3" i="9" s="1"/>
  <c r="E15" i="3"/>
  <c r="D3" i="9" s="1"/>
  <c r="D15" i="3"/>
  <c r="C3" i="9" s="1"/>
  <c r="C15" i="3"/>
  <c r="B3" i="9" s="1"/>
  <c r="O14" i="3"/>
  <c r="Q23" i="3" s="1"/>
  <c r="O32" i="5" s="1"/>
  <c r="O13" i="3"/>
  <c r="O11" i="3"/>
  <c r="N15" i="3"/>
  <c r="M3" i="9" s="1"/>
  <c r="O9" i="3"/>
  <c r="Q19" i="3" s="1"/>
  <c r="O28" i="5" s="1"/>
  <c r="G15" i="3"/>
  <c r="F3" i="9" s="1"/>
  <c r="N5" i="3"/>
  <c r="M19" i="9" s="1"/>
  <c r="M5" i="3"/>
  <c r="L19" i="9" s="1"/>
  <c r="L5" i="3"/>
  <c r="K19" i="9" s="1"/>
  <c r="K5" i="3"/>
  <c r="J19" i="9" s="1"/>
  <c r="J5" i="3"/>
  <c r="I19" i="9" s="1"/>
  <c r="I5" i="3"/>
  <c r="H19" i="9" s="1"/>
  <c r="H5" i="3"/>
  <c r="G19" i="9" s="1"/>
  <c r="E5" i="3"/>
  <c r="D19" i="9" s="1"/>
  <c r="D5" i="3"/>
  <c r="C19" i="9" s="1"/>
  <c r="C5" i="3"/>
  <c r="B19" i="9" s="1"/>
  <c r="O4" i="3"/>
  <c r="O4" i="5" s="1"/>
  <c r="G5" i="3"/>
  <c r="F19" i="9" s="1"/>
  <c r="O10" i="5" l="1"/>
  <c r="O19" i="5"/>
  <c r="O8" i="5"/>
  <c r="O13" i="5"/>
  <c r="O17" i="5"/>
  <c r="O21" i="5"/>
  <c r="O18" i="5"/>
  <c r="O23" i="5"/>
  <c r="O16" i="5"/>
  <c r="O24" i="5"/>
  <c r="O12" i="5"/>
  <c r="N3" i="4"/>
  <c r="N8" i="4" s="1"/>
  <c r="N13" i="4"/>
  <c r="N12" i="4"/>
  <c r="Q21" i="3"/>
  <c r="O30" i="5" s="1"/>
  <c r="F27" i="3"/>
  <c r="E11" i="9" s="1"/>
  <c r="N27" i="3"/>
  <c r="M11" i="9" s="1"/>
  <c r="O22" i="3"/>
  <c r="Q22" i="3" s="1"/>
  <c r="O31" i="5" s="1"/>
  <c r="H27" i="3"/>
  <c r="G11" i="9" s="1"/>
  <c r="O8" i="3"/>
  <c r="Q18" i="3" s="1"/>
  <c r="O27" i="5" s="1"/>
  <c r="O10" i="3"/>
  <c r="O3" i="3"/>
  <c r="F15" i="3"/>
  <c r="E3" i="9" s="1"/>
  <c r="N3" i="9" s="1"/>
  <c r="F5" i="3"/>
  <c r="E19" i="9" s="1"/>
  <c r="N19" i="9" s="1"/>
  <c r="F26" i="7"/>
  <c r="N51" i="3"/>
  <c r="N49" i="3"/>
  <c r="N39" i="3"/>
  <c r="N48" i="3"/>
  <c r="N38" i="3"/>
  <c r="N11" i="9" l="1"/>
  <c r="O7" i="5"/>
  <c r="P3" i="3"/>
  <c r="P3" i="5" s="1"/>
  <c r="O3" i="5"/>
  <c r="O5" i="5" s="1"/>
  <c r="Q20" i="3"/>
  <c r="O29" i="5" s="1"/>
  <c r="O34" i="5" s="1"/>
  <c r="O9" i="5"/>
  <c r="O20" i="5"/>
  <c r="O25" i="5" s="1"/>
  <c r="N17" i="4"/>
  <c r="O27" i="3"/>
  <c r="P18" i="3" s="1"/>
  <c r="O15" i="3"/>
  <c r="P10" i="3" s="1"/>
  <c r="P4" i="3"/>
  <c r="P4" i="5" s="1"/>
  <c r="O5" i="3"/>
  <c r="C55" i="8"/>
  <c r="B55" i="8"/>
  <c r="C65" i="8"/>
  <c r="B65" i="8"/>
  <c r="C32" i="8"/>
  <c r="B32" i="8"/>
  <c r="E35" i="8"/>
  <c r="C35" i="8"/>
  <c r="B35" i="8"/>
  <c r="C42" i="8"/>
  <c r="B42" i="8"/>
  <c r="I15" i="8"/>
  <c r="B61" i="8" s="1"/>
  <c r="I20" i="8"/>
  <c r="B66" i="8" s="1"/>
  <c r="I21" i="8"/>
  <c r="B67" i="8" s="1"/>
  <c r="I14" i="8"/>
  <c r="B60" i="8" s="1"/>
  <c r="I5" i="8"/>
  <c r="B51" i="8" s="1"/>
  <c r="I8" i="8"/>
  <c r="B54" i="8" s="1"/>
  <c r="I10" i="8"/>
  <c r="B56" i="8" s="1"/>
  <c r="I4" i="8"/>
  <c r="B50" i="8" s="1"/>
  <c r="F15" i="8"/>
  <c r="C61" i="8" s="1"/>
  <c r="F16" i="8"/>
  <c r="C62" i="8" s="1"/>
  <c r="F17" i="8"/>
  <c r="C63" i="8" s="1"/>
  <c r="F18" i="8"/>
  <c r="C64" i="8" s="1"/>
  <c r="F20" i="8"/>
  <c r="C66" i="8" s="1"/>
  <c r="F21" i="8"/>
  <c r="C67" i="8" s="1"/>
  <c r="F14" i="8"/>
  <c r="C60" i="8" s="1"/>
  <c r="F5" i="8"/>
  <c r="C51" i="8" s="1"/>
  <c r="F6" i="8"/>
  <c r="C52" i="8" s="1"/>
  <c r="F7" i="8"/>
  <c r="C53" i="8" s="1"/>
  <c r="F8" i="8"/>
  <c r="C54" i="8" s="1"/>
  <c r="F10" i="8"/>
  <c r="C56" i="8" s="1"/>
  <c r="F4" i="8"/>
  <c r="C50" i="8" s="1"/>
  <c r="C8" i="8"/>
  <c r="E54" i="8" s="1"/>
  <c r="C9" i="8"/>
  <c r="E55" i="8" s="1"/>
  <c r="C10" i="8"/>
  <c r="E56" i="8" s="1"/>
  <c r="J20" i="8"/>
  <c r="H20" i="8"/>
  <c r="B43" i="8" s="1"/>
  <c r="H15" i="8"/>
  <c r="H18" i="8"/>
  <c r="H21" i="8"/>
  <c r="B44" i="8" s="1"/>
  <c r="H14" i="8"/>
  <c r="B37" i="8" s="1"/>
  <c r="D91" i="3"/>
  <c r="C6" i="9" s="1"/>
  <c r="E91" i="3"/>
  <c r="D6" i="9" s="1"/>
  <c r="F91" i="3"/>
  <c r="E6" i="9" s="1"/>
  <c r="G91" i="3"/>
  <c r="F6" i="9" s="1"/>
  <c r="H91" i="3"/>
  <c r="G6" i="9" s="1"/>
  <c r="I91" i="3"/>
  <c r="H6" i="9" s="1"/>
  <c r="L91" i="3"/>
  <c r="K6" i="9" s="1"/>
  <c r="M91" i="3"/>
  <c r="L6" i="9" s="1"/>
  <c r="C91" i="3"/>
  <c r="B6" i="9" s="1"/>
  <c r="H5" i="8"/>
  <c r="B28" i="8" s="1"/>
  <c r="H8" i="8"/>
  <c r="B31" i="8" s="1"/>
  <c r="H10" i="8"/>
  <c r="B33" i="8" s="1"/>
  <c r="H4" i="8"/>
  <c r="B27" i="8" s="1"/>
  <c r="D68" i="3"/>
  <c r="C5" i="9" s="1"/>
  <c r="E68" i="3"/>
  <c r="D5" i="9" s="1"/>
  <c r="F68" i="3"/>
  <c r="E5" i="9" s="1"/>
  <c r="G68" i="3"/>
  <c r="F5" i="9" s="1"/>
  <c r="H68" i="3"/>
  <c r="G5" i="9" s="1"/>
  <c r="I68" i="3"/>
  <c r="H5" i="9" s="1"/>
  <c r="J68" i="3"/>
  <c r="I5" i="9" s="1"/>
  <c r="K68" i="3"/>
  <c r="J5" i="9" s="1"/>
  <c r="L68" i="3"/>
  <c r="K5" i="9" s="1"/>
  <c r="M68" i="3"/>
  <c r="L5" i="9" s="1"/>
  <c r="N68" i="3"/>
  <c r="M5" i="9" s="1"/>
  <c r="C68" i="3"/>
  <c r="B5" i="9" s="1"/>
  <c r="D77" i="3"/>
  <c r="C13" i="9" s="1"/>
  <c r="E77" i="3"/>
  <c r="D13" i="9" s="1"/>
  <c r="F77" i="3"/>
  <c r="E13" i="9" s="1"/>
  <c r="G77" i="3"/>
  <c r="F13" i="9" s="1"/>
  <c r="H77" i="3"/>
  <c r="G13" i="9" s="1"/>
  <c r="I77" i="3"/>
  <c r="H13" i="9" s="1"/>
  <c r="J77" i="3"/>
  <c r="I13" i="9" s="1"/>
  <c r="K77" i="3"/>
  <c r="J13" i="9" s="1"/>
  <c r="L77" i="3"/>
  <c r="K13" i="9" s="1"/>
  <c r="M77" i="3"/>
  <c r="L13" i="9" s="1"/>
  <c r="N77" i="3"/>
  <c r="M13" i="9" s="1"/>
  <c r="C77" i="3"/>
  <c r="B13" i="9" s="1"/>
  <c r="E15" i="8"/>
  <c r="C38" i="8" s="1"/>
  <c r="E16" i="8"/>
  <c r="C39" i="8" s="1"/>
  <c r="E17" i="8"/>
  <c r="C40" i="8" s="1"/>
  <c r="E18" i="8"/>
  <c r="C41" i="8" s="1"/>
  <c r="E20" i="8"/>
  <c r="C43" i="8" s="1"/>
  <c r="E21" i="8"/>
  <c r="C44" i="8" s="1"/>
  <c r="E14" i="8"/>
  <c r="C37" i="8" s="1"/>
  <c r="E5" i="8"/>
  <c r="C28" i="8" s="1"/>
  <c r="E6" i="8"/>
  <c r="C29" i="8" s="1"/>
  <c r="E7" i="8"/>
  <c r="C30" i="8" s="1"/>
  <c r="E8" i="8"/>
  <c r="C31" i="8" s="1"/>
  <c r="E10" i="8"/>
  <c r="C33" i="8" s="1"/>
  <c r="E4" i="8"/>
  <c r="C27" i="8" s="1"/>
  <c r="B15" i="8"/>
  <c r="E38" i="8" s="1"/>
  <c r="B16" i="8"/>
  <c r="E39" i="8" s="1"/>
  <c r="B17" i="8"/>
  <c r="E40" i="8" s="1"/>
  <c r="B18" i="8"/>
  <c r="E41" i="8" s="1"/>
  <c r="B20" i="8"/>
  <c r="E43" i="8" s="1"/>
  <c r="B21" i="8"/>
  <c r="E44" i="8" s="1"/>
  <c r="B14" i="8"/>
  <c r="E37" i="8" s="1"/>
  <c r="B5" i="8"/>
  <c r="E28" i="8" s="1"/>
  <c r="B6" i="8"/>
  <c r="E29" i="8" s="1"/>
  <c r="B7" i="8"/>
  <c r="E30" i="8" s="1"/>
  <c r="B8" i="8"/>
  <c r="E31" i="8" s="1"/>
  <c r="B9" i="8"/>
  <c r="E32" i="8" s="1"/>
  <c r="B10" i="8"/>
  <c r="E33" i="8" s="1"/>
  <c r="B4" i="8"/>
  <c r="E27" i="8" s="1"/>
  <c r="H32" i="4"/>
  <c r="N32" i="4" s="1"/>
  <c r="H31" i="4"/>
  <c r="H33" i="4" s="1"/>
  <c r="E31" i="4"/>
  <c r="E33" i="4" s="1"/>
  <c r="D31" i="4"/>
  <c r="D33" i="4" s="1"/>
  <c r="G30" i="4"/>
  <c r="F30" i="4"/>
  <c r="G29" i="4"/>
  <c r="G33" i="4" s="1"/>
  <c r="F29" i="4"/>
  <c r="O14" i="5" l="1"/>
  <c r="N5" i="9"/>
  <c r="P12" i="3"/>
  <c r="P11" i="3"/>
  <c r="P14" i="3"/>
  <c r="P9" i="3"/>
  <c r="P13" i="3"/>
  <c r="N13" i="9"/>
  <c r="P24" i="3"/>
  <c r="P22" i="5" s="1"/>
  <c r="P20" i="3"/>
  <c r="P18" i="5" s="1"/>
  <c r="P23" i="3"/>
  <c r="P21" i="5" s="1"/>
  <c r="P21" i="3"/>
  <c r="P19" i="5" s="1"/>
  <c r="P25" i="3"/>
  <c r="P23" i="5" s="1"/>
  <c r="P26" i="3"/>
  <c r="P24" i="5" s="1"/>
  <c r="P19" i="3"/>
  <c r="P17" i="5" s="1"/>
  <c r="P16" i="5"/>
  <c r="P22" i="3"/>
  <c r="P20" i="5" s="1"/>
  <c r="P8" i="3"/>
  <c r="P7" i="5" s="1"/>
  <c r="N29" i="4"/>
  <c r="F33" i="4"/>
  <c r="F28" i="8"/>
  <c r="F41" i="8"/>
  <c r="D27" i="8"/>
  <c r="D43" i="8"/>
  <c r="F31" i="8"/>
  <c r="F37" i="8"/>
  <c r="F40" i="8"/>
  <c r="D67" i="8"/>
  <c r="D50" i="8"/>
  <c r="F30" i="8"/>
  <c r="F44" i="8"/>
  <c r="F39" i="8"/>
  <c r="D31" i="8"/>
  <c r="D28" i="8"/>
  <c r="F27" i="8"/>
  <c r="D37" i="8"/>
  <c r="F33" i="8"/>
  <c r="F29" i="8"/>
  <c r="F43" i="8"/>
  <c r="F38" i="8"/>
  <c r="D44" i="8"/>
  <c r="F56" i="8"/>
  <c r="F54" i="8"/>
  <c r="D60" i="8"/>
  <c r="D66" i="8"/>
  <c r="D61" i="8"/>
  <c r="D51" i="8"/>
  <c r="D54" i="8"/>
  <c r="B41" i="8"/>
  <c r="D41" i="8" s="1"/>
  <c r="F11" i="8"/>
  <c r="C57" i="8" s="1"/>
  <c r="F22" i="8"/>
  <c r="C68" i="8" s="1"/>
  <c r="B38" i="8"/>
  <c r="D38" i="8" s="1"/>
  <c r="E22" i="8"/>
  <c r="C45" i="8" s="1"/>
  <c r="B11" i="8"/>
  <c r="E34" i="8" s="1"/>
  <c r="E11" i="8"/>
  <c r="C34" i="8" s="1"/>
  <c r="N31" i="4"/>
  <c r="N30" i="4"/>
  <c r="N33" i="4" l="1"/>
  <c r="H8" i="6" s="1"/>
  <c r="F34" i="8"/>
  <c r="H24" i="4" l="1"/>
  <c r="H25" i="4" s="1"/>
  <c r="G21" i="4" l="1"/>
  <c r="G25" i="4" s="1"/>
  <c r="H51" i="3"/>
  <c r="B19" i="8" s="1"/>
  <c r="B22" i="8" l="1"/>
  <c r="E45" i="8" s="1"/>
  <c r="F45" i="8" s="1"/>
  <c r="E42" i="8"/>
  <c r="D43" i="3"/>
  <c r="C4" i="9" s="1"/>
  <c r="E43" i="3"/>
  <c r="D4" i="9" s="1"/>
  <c r="H43" i="3"/>
  <c r="G4" i="9" s="1"/>
  <c r="I43" i="3"/>
  <c r="H4" i="9" s="1"/>
  <c r="J43" i="3"/>
  <c r="I4" i="9" s="1"/>
  <c r="K43" i="3"/>
  <c r="J4" i="9" s="1"/>
  <c r="L43" i="3"/>
  <c r="K4" i="9" s="1"/>
  <c r="M43" i="3"/>
  <c r="L4" i="9" s="1"/>
  <c r="N43" i="3"/>
  <c r="M4" i="9" s="1"/>
  <c r="C43" i="3"/>
  <c r="B4" i="9" s="1"/>
  <c r="E54" i="3"/>
  <c r="D12" i="9" s="1"/>
  <c r="H54" i="3"/>
  <c r="G12" i="9" s="1"/>
  <c r="I54" i="3"/>
  <c r="H12" i="9" s="1"/>
  <c r="J54" i="3"/>
  <c r="I12" i="9" s="1"/>
  <c r="K54" i="3"/>
  <c r="J12" i="9" s="1"/>
  <c r="L54" i="3"/>
  <c r="K12" i="9" s="1"/>
  <c r="M54" i="3"/>
  <c r="L12" i="9" s="1"/>
  <c r="N54" i="3"/>
  <c r="M12" i="9" s="1"/>
  <c r="C54" i="3"/>
  <c r="B12" i="9" s="1"/>
  <c r="D33" i="3"/>
  <c r="C20" i="9" s="1"/>
  <c r="E33" i="3"/>
  <c r="D20" i="9" s="1"/>
  <c r="H33" i="3"/>
  <c r="G20" i="9" s="1"/>
  <c r="I33" i="3"/>
  <c r="H20" i="9" s="1"/>
  <c r="J33" i="3"/>
  <c r="I20" i="9" s="1"/>
  <c r="K33" i="3"/>
  <c r="J20" i="9" s="1"/>
  <c r="L33" i="3"/>
  <c r="K20" i="9" s="1"/>
  <c r="M33" i="3"/>
  <c r="L20" i="9" s="1"/>
  <c r="N33" i="3"/>
  <c r="M20" i="9" s="1"/>
  <c r="C33" i="3"/>
  <c r="B20" i="9" s="1"/>
  <c r="G38" i="3" l="1"/>
  <c r="G49" i="3"/>
  <c r="O49" i="3" s="1"/>
  <c r="C17" i="8" l="1"/>
  <c r="E63" i="8" s="1"/>
  <c r="F63" i="8" s="1"/>
  <c r="D23" i="7"/>
  <c r="G48" i="3"/>
  <c r="G39" i="3"/>
  <c r="F22" i="4"/>
  <c r="F21" i="4"/>
  <c r="G52" i="3"/>
  <c r="G47" i="3"/>
  <c r="G46" i="3"/>
  <c r="G37" i="3"/>
  <c r="G36" i="3"/>
  <c r="G31" i="3"/>
  <c r="G33" i="3" s="1"/>
  <c r="F20" i="9" s="1"/>
  <c r="N21" i="4" l="1"/>
  <c r="F25" i="4"/>
  <c r="G43" i="3"/>
  <c r="F4" i="9" s="1"/>
  <c r="G54" i="3"/>
  <c r="F12" i="9" s="1"/>
  <c r="O51" i="3"/>
  <c r="O41" i="3"/>
  <c r="D14" i="7" s="1"/>
  <c r="I14" i="7" l="1"/>
  <c r="H14" i="7"/>
  <c r="C19" i="8"/>
  <c r="E65" i="8" s="1"/>
  <c r="D25" i="7"/>
  <c r="I25" i="7" s="1"/>
  <c r="Q51" i="3"/>
  <c r="L31" i="5" s="1"/>
  <c r="N31" i="5" s="1"/>
  <c r="L12" i="5"/>
  <c r="L21" i="5"/>
  <c r="N23" i="4"/>
  <c r="N24" i="4"/>
  <c r="C39" i="5" s="1"/>
  <c r="N22" i="4"/>
  <c r="N25" i="4" l="1"/>
  <c r="H7" i="6" s="1"/>
  <c r="F53" i="3"/>
  <c r="F48" i="3"/>
  <c r="F39" i="3"/>
  <c r="C7" i="8" s="1"/>
  <c r="E53" i="8" s="1"/>
  <c r="F53" i="8" s="1"/>
  <c r="F38" i="3"/>
  <c r="C6" i="8" s="1"/>
  <c r="E52" i="8" s="1"/>
  <c r="F52" i="8" s="1"/>
  <c r="F47" i="3" l="1"/>
  <c r="F46" i="3"/>
  <c r="F37" i="3"/>
  <c r="C5" i="8" s="1"/>
  <c r="E51" i="8" s="1"/>
  <c r="F51" i="8" s="1"/>
  <c r="F36" i="3"/>
  <c r="C4" i="8" s="1"/>
  <c r="F31" i="3"/>
  <c r="F33" i="3" s="1"/>
  <c r="E20" i="9" s="1"/>
  <c r="N20" i="9" s="1"/>
  <c r="E50" i="8" l="1"/>
  <c r="F50" i="8" s="1"/>
  <c r="C11" i="8"/>
  <c r="E57" i="8" s="1"/>
  <c r="F57" i="8" s="1"/>
  <c r="F43" i="3"/>
  <c r="E4" i="9" s="1"/>
  <c r="N4" i="9" s="1"/>
  <c r="F54" i="3"/>
  <c r="E12" i="9" s="1"/>
  <c r="D50" i="3"/>
  <c r="D54" i="3" s="1"/>
  <c r="C12" i="9" s="1"/>
  <c r="N12" i="9" l="1"/>
  <c r="O53" i="3"/>
  <c r="O52" i="3"/>
  <c r="O50" i="3"/>
  <c r="D24" i="7" s="1"/>
  <c r="O48" i="3"/>
  <c r="O47" i="3"/>
  <c r="O46" i="3"/>
  <c r="O42" i="3"/>
  <c r="D15" i="7" s="1"/>
  <c r="O40" i="3"/>
  <c r="D13" i="7" s="1"/>
  <c r="O39" i="3"/>
  <c r="D12" i="7" s="1"/>
  <c r="O38" i="3"/>
  <c r="D11" i="7" s="1"/>
  <c r="O37" i="3"/>
  <c r="D10" i="7" s="1"/>
  <c r="O36" i="3"/>
  <c r="O32" i="3"/>
  <c r="D4" i="7" s="1"/>
  <c r="O31" i="3"/>
  <c r="D3" i="7" s="1"/>
  <c r="D9" i="7" l="1"/>
  <c r="D16" i="7" s="1"/>
  <c r="R40" i="3"/>
  <c r="D5" i="7"/>
  <c r="C14" i="8"/>
  <c r="E60" i="8" s="1"/>
  <c r="F60" i="8" s="1"/>
  <c r="D20" i="7"/>
  <c r="C20" i="8"/>
  <c r="E66" i="8" s="1"/>
  <c r="F66" i="8" s="1"/>
  <c r="D26" i="7"/>
  <c r="C15" i="8"/>
  <c r="E61" i="8" s="1"/>
  <c r="F61" i="8" s="1"/>
  <c r="D21" i="7"/>
  <c r="C16" i="8"/>
  <c r="E62" i="8" s="1"/>
  <c r="F62" i="8" s="1"/>
  <c r="D22" i="7"/>
  <c r="C21" i="8"/>
  <c r="E67" i="8" s="1"/>
  <c r="F67" i="8" s="1"/>
  <c r="D27" i="7"/>
  <c r="L20" i="5"/>
  <c r="N20" i="5" s="1"/>
  <c r="C18" i="8"/>
  <c r="E64" i="8" s="1"/>
  <c r="F64" i="8" s="1"/>
  <c r="Q49" i="3"/>
  <c r="L30" i="5" s="1"/>
  <c r="N30" i="5" s="1"/>
  <c r="O33" i="3"/>
  <c r="O54" i="3"/>
  <c r="O43" i="3"/>
  <c r="C37" i="5"/>
  <c r="C36" i="5"/>
  <c r="L17" i="5"/>
  <c r="N17" i="5" s="1"/>
  <c r="Q47" i="3"/>
  <c r="L28" i="5" s="1"/>
  <c r="N28" i="5" s="1"/>
  <c r="L9" i="5"/>
  <c r="N9" i="5" s="1"/>
  <c r="C38" i="5"/>
  <c r="Q50" i="3"/>
  <c r="L32" i="5" s="1"/>
  <c r="N32" i="5" s="1"/>
  <c r="L16" i="5"/>
  <c r="N16" i="5" s="1"/>
  <c r="R51" i="3"/>
  <c r="P11" i="5"/>
  <c r="P32" i="3"/>
  <c r="M4" i="5" s="1"/>
  <c r="P31" i="3"/>
  <c r="M3" i="5" s="1"/>
  <c r="L23" i="5"/>
  <c r="N23" i="5" s="1"/>
  <c r="L10" i="5"/>
  <c r="N10" i="5" s="1"/>
  <c r="L8" i="5"/>
  <c r="N8" i="5" s="1"/>
  <c r="L19" i="5"/>
  <c r="N19" i="5" s="1"/>
  <c r="L18" i="5"/>
  <c r="N18" i="5" s="1"/>
  <c r="L24" i="5"/>
  <c r="N24" i="5" s="1"/>
  <c r="L4" i="5"/>
  <c r="N4" i="5" s="1"/>
  <c r="L3" i="5"/>
  <c r="N3" i="5" s="1"/>
  <c r="L11" i="5"/>
  <c r="N11" i="5" s="1"/>
  <c r="L7" i="5"/>
  <c r="N7" i="5" s="1"/>
  <c r="L13" i="5"/>
  <c r="N13" i="5" s="1"/>
  <c r="Q48" i="3"/>
  <c r="L29" i="5" s="1"/>
  <c r="N29" i="5" s="1"/>
  <c r="Q46" i="3"/>
  <c r="H21" i="2"/>
  <c r="L27" i="5" l="1"/>
  <c r="P10" i="5"/>
  <c r="P12" i="5"/>
  <c r="P13" i="5"/>
  <c r="P9" i="5"/>
  <c r="I26" i="7"/>
  <c r="D28" i="7"/>
  <c r="L5" i="5"/>
  <c r="H3" i="6" s="1"/>
  <c r="C22" i="8"/>
  <c r="E68" i="8" s="1"/>
  <c r="F68" i="8" s="1"/>
  <c r="L25" i="5"/>
  <c r="H5" i="6" s="1"/>
  <c r="L14" i="5"/>
  <c r="H4" i="6" s="1"/>
  <c r="H9" i="6" s="1"/>
  <c r="P50" i="3"/>
  <c r="P47" i="3"/>
  <c r="P51" i="3"/>
  <c r="P48" i="3"/>
  <c r="P52" i="3"/>
  <c r="P49" i="3"/>
  <c r="P53" i="3"/>
  <c r="P46" i="3"/>
  <c r="P40" i="3"/>
  <c r="M11" i="5" s="1"/>
  <c r="P37" i="3"/>
  <c r="M8" i="5" s="1"/>
  <c r="P41" i="3"/>
  <c r="M12" i="5" s="1"/>
  <c r="P38" i="3"/>
  <c r="M9" i="5" s="1"/>
  <c r="P42" i="3"/>
  <c r="M13" i="5" s="1"/>
  <c r="P39" i="3"/>
  <c r="M10" i="5" s="1"/>
  <c r="P36" i="3"/>
  <c r="M7" i="5" s="1"/>
  <c r="Q21" i="1"/>
  <c r="N27" i="5" l="1"/>
  <c r="L34" i="5"/>
  <c r="H6" i="6" s="1"/>
  <c r="P8" i="5"/>
  <c r="P15" i="3"/>
  <c r="M24" i="5"/>
  <c r="M21" i="5"/>
  <c r="M19" i="5"/>
  <c r="M17" i="5"/>
  <c r="M23" i="5"/>
  <c r="M20" i="5"/>
  <c r="M16" i="5"/>
  <c r="M18" i="5"/>
  <c r="N58" i="3" l="1"/>
  <c r="N60" i="3" s="1"/>
  <c r="M21" i="9" s="1"/>
  <c r="N21" i="9" s="1"/>
  <c r="N24" i="9" s="1"/>
  <c r="F23" i="5" l="1"/>
  <c r="D97" i="3"/>
  <c r="D100" i="3" s="1"/>
  <c r="C14" i="9" s="1"/>
  <c r="O75" i="3"/>
  <c r="E26" i="7" s="1"/>
  <c r="H26" i="7" s="1"/>
  <c r="O99" i="3"/>
  <c r="O121" i="3"/>
  <c r="C23" i="5" s="1"/>
  <c r="O122" i="3"/>
  <c r="C24" i="5" s="1"/>
  <c r="O76" i="3"/>
  <c r="E27" i="7" s="1"/>
  <c r="H27" i="7" s="1"/>
  <c r="N88" i="3"/>
  <c r="N91" i="3" s="1"/>
  <c r="M6" i="9" s="1"/>
  <c r="K96" i="3"/>
  <c r="K88" i="3"/>
  <c r="J96" i="3"/>
  <c r="J100" i="3" s="1"/>
  <c r="I14" i="9" s="1"/>
  <c r="J88" i="3"/>
  <c r="K95" i="3"/>
  <c r="K100" i="3" s="1"/>
  <c r="J14" i="9" s="1"/>
  <c r="K87" i="3"/>
  <c r="O120" i="3"/>
  <c r="O119" i="3"/>
  <c r="C19" i="5" s="1"/>
  <c r="O118" i="3"/>
  <c r="C18" i="5" s="1"/>
  <c r="O117" i="3"/>
  <c r="O116" i="3"/>
  <c r="O113" i="3"/>
  <c r="C13" i="5" s="1"/>
  <c r="O112" i="3"/>
  <c r="C11" i="5" s="1"/>
  <c r="O111" i="3"/>
  <c r="C10" i="5" s="1"/>
  <c r="O110" i="3"/>
  <c r="O109" i="3"/>
  <c r="C8" i="5" s="1"/>
  <c r="O108" i="3"/>
  <c r="O105" i="3"/>
  <c r="C4" i="5" s="1"/>
  <c r="O104" i="3"/>
  <c r="O94" i="3"/>
  <c r="O93" i="3"/>
  <c r="O90" i="3"/>
  <c r="O89" i="3"/>
  <c r="O86" i="3"/>
  <c r="O85" i="3"/>
  <c r="O82" i="3"/>
  <c r="O81" i="3"/>
  <c r="O59" i="3"/>
  <c r="E4" i="7" s="1"/>
  <c r="H4" i="7" s="1"/>
  <c r="O64" i="3"/>
  <c r="E11" i="7" s="1"/>
  <c r="H11" i="7" s="1"/>
  <c r="O65" i="3"/>
  <c r="E12" i="7" s="1"/>
  <c r="H12" i="7" s="1"/>
  <c r="O66" i="3"/>
  <c r="E13" i="7" s="1"/>
  <c r="H13" i="7" s="1"/>
  <c r="O67" i="3"/>
  <c r="E15" i="7" s="1"/>
  <c r="H15" i="7" s="1"/>
  <c r="O72" i="3"/>
  <c r="E22" i="7" s="1"/>
  <c r="H22" i="7" s="1"/>
  <c r="O73" i="3"/>
  <c r="E23" i="7" s="1"/>
  <c r="H23" i="7" s="1"/>
  <c r="O74" i="3"/>
  <c r="E24" i="7" s="1"/>
  <c r="H24" i="7" s="1"/>
  <c r="O58" i="3"/>
  <c r="Q93" i="3"/>
  <c r="F27" i="5" s="1"/>
  <c r="O71" i="3"/>
  <c r="O70" i="3"/>
  <c r="E20" i="7" s="1"/>
  <c r="O63" i="3"/>
  <c r="E10" i="7" s="1"/>
  <c r="H10" i="7" s="1"/>
  <c r="O62" i="3"/>
  <c r="E9" i="7" s="1"/>
  <c r="P18" i="1"/>
  <c r="U16" i="1"/>
  <c r="U17" i="1"/>
  <c r="Q20" i="1"/>
  <c r="U20" i="1" s="1"/>
  <c r="N20" i="1"/>
  <c r="P20" i="1"/>
  <c r="F18" i="1"/>
  <c r="U18" i="1" s="1"/>
  <c r="E18" i="1"/>
  <c r="H19" i="2"/>
  <c r="G18" i="2"/>
  <c r="G20" i="2"/>
  <c r="G19" i="2"/>
  <c r="H20" i="2"/>
  <c r="U19" i="1"/>
  <c r="N19" i="1"/>
  <c r="N18" i="1"/>
  <c r="N17" i="1"/>
  <c r="N16" i="1"/>
  <c r="N15" i="1"/>
  <c r="N14" i="1"/>
  <c r="N13" i="1"/>
  <c r="N12" i="1"/>
  <c r="N11" i="1"/>
  <c r="N10" i="1"/>
  <c r="N9" i="1"/>
  <c r="N8" i="1"/>
  <c r="N7" i="1"/>
  <c r="N6" i="1"/>
  <c r="N5" i="1"/>
  <c r="N4" i="1"/>
  <c r="N3" i="1"/>
  <c r="N14" i="9" l="1"/>
  <c r="N16" i="9" s="1"/>
  <c r="P81" i="3"/>
  <c r="G3" i="5" s="1"/>
  <c r="O83" i="3"/>
  <c r="O106" i="3"/>
  <c r="O123" i="3"/>
  <c r="C7" i="5"/>
  <c r="O114" i="3"/>
  <c r="E3" i="7"/>
  <c r="E5" i="7" s="1"/>
  <c r="H5" i="7" s="1"/>
  <c r="O60" i="3"/>
  <c r="G15" i="8"/>
  <c r="E21" i="7"/>
  <c r="H21" i="7" s="1"/>
  <c r="F8" i="5"/>
  <c r="E8" i="5" s="1"/>
  <c r="F10" i="7"/>
  <c r="I10" i="7" s="1"/>
  <c r="J5" i="8"/>
  <c r="F17" i="5"/>
  <c r="F21" i="7"/>
  <c r="I21" i="7" s="1"/>
  <c r="J15" i="8"/>
  <c r="F27" i="7"/>
  <c r="I27" i="7" s="1"/>
  <c r="J21" i="8"/>
  <c r="E16" i="7"/>
  <c r="H16" i="7" s="1"/>
  <c r="H9" i="7"/>
  <c r="F3" i="5"/>
  <c r="F3" i="7"/>
  <c r="F13" i="7"/>
  <c r="I13" i="7" s="1"/>
  <c r="J8" i="8"/>
  <c r="F4" i="5"/>
  <c r="E4" i="5" s="1"/>
  <c r="F4" i="7"/>
  <c r="I4" i="7" s="1"/>
  <c r="F13" i="5"/>
  <c r="F15" i="7"/>
  <c r="I15" i="7" s="1"/>
  <c r="J10" i="8"/>
  <c r="O97" i="3"/>
  <c r="Q97" i="3" s="1"/>
  <c r="F32" i="5" s="1"/>
  <c r="I18" i="8"/>
  <c r="B64" i="8" s="1"/>
  <c r="D64" i="8" s="1"/>
  <c r="H20" i="7"/>
  <c r="P82" i="3"/>
  <c r="G4" i="5" s="1"/>
  <c r="F9" i="7"/>
  <c r="I9" i="7" s="1"/>
  <c r="J4" i="8"/>
  <c r="F16" i="5"/>
  <c r="F20" i="7"/>
  <c r="I20" i="7" s="1"/>
  <c r="J14" i="8"/>
  <c r="H7" i="8"/>
  <c r="B30" i="8" s="1"/>
  <c r="D30" i="8" s="1"/>
  <c r="J91" i="3"/>
  <c r="I6" i="9" s="1"/>
  <c r="I7" i="8"/>
  <c r="B53" i="8" s="1"/>
  <c r="D53" i="8" s="1"/>
  <c r="H17" i="8"/>
  <c r="B40" i="8" s="1"/>
  <c r="D40" i="8" s="1"/>
  <c r="I17" i="8"/>
  <c r="B63" i="8" s="1"/>
  <c r="D63" i="8" s="1"/>
  <c r="I6" i="8"/>
  <c r="K91" i="3"/>
  <c r="J6" i="9" s="1"/>
  <c r="O95" i="3"/>
  <c r="I16" i="8"/>
  <c r="H16" i="8"/>
  <c r="O68" i="3"/>
  <c r="O87" i="3"/>
  <c r="H6" i="8"/>
  <c r="P112" i="3"/>
  <c r="D11" i="5" s="1"/>
  <c r="P113" i="3"/>
  <c r="D13" i="5" s="1"/>
  <c r="I7" i="5"/>
  <c r="K7" i="5" s="1"/>
  <c r="G4" i="8"/>
  <c r="P62" i="3"/>
  <c r="J7" i="5" s="1"/>
  <c r="G21" i="1"/>
  <c r="I13" i="5"/>
  <c r="G10" i="8"/>
  <c r="I24" i="5"/>
  <c r="K24" i="5" s="1"/>
  <c r="G21" i="8"/>
  <c r="I23" i="5"/>
  <c r="K23" i="5" s="1"/>
  <c r="G20" i="8"/>
  <c r="O21" i="1"/>
  <c r="I20" i="5"/>
  <c r="K20" i="5" s="1"/>
  <c r="G18" i="8"/>
  <c r="D21" i="1"/>
  <c r="F21" i="1"/>
  <c r="O77" i="3"/>
  <c r="G14" i="8"/>
  <c r="H21" i="1"/>
  <c r="I19" i="5"/>
  <c r="K19" i="5" s="1"/>
  <c r="G17" i="8"/>
  <c r="L21" i="1"/>
  <c r="G7" i="8"/>
  <c r="K21" i="1"/>
  <c r="I8" i="5"/>
  <c r="G5" i="8"/>
  <c r="P63" i="3"/>
  <c r="J8" i="5" s="1"/>
  <c r="E21" i="1"/>
  <c r="G8" i="8"/>
  <c r="B21" i="1"/>
  <c r="I16" i="5"/>
  <c r="K16" i="5" s="1"/>
  <c r="I17" i="5"/>
  <c r="K17" i="5" s="1"/>
  <c r="I18" i="5"/>
  <c r="K18" i="5" s="1"/>
  <c r="G16" i="8"/>
  <c r="J21" i="1"/>
  <c r="I9" i="5"/>
  <c r="K9" i="5" s="1"/>
  <c r="G6" i="8"/>
  <c r="I21" i="1"/>
  <c r="F21" i="2"/>
  <c r="G21" i="2" s="1"/>
  <c r="O96" i="3"/>
  <c r="O88" i="3"/>
  <c r="E23" i="5"/>
  <c r="Q74" i="3"/>
  <c r="I32" i="5" s="1"/>
  <c r="K32" i="5" s="1"/>
  <c r="P76" i="3"/>
  <c r="J24" i="5" s="1"/>
  <c r="I11" i="5"/>
  <c r="K11" i="5" s="1"/>
  <c r="P58" i="3"/>
  <c r="J3" i="5" s="1"/>
  <c r="Q72" i="3"/>
  <c r="I29" i="5" s="1"/>
  <c r="K29" i="5" s="1"/>
  <c r="P67" i="3"/>
  <c r="J13" i="5" s="1"/>
  <c r="P64" i="3"/>
  <c r="J9" i="5" s="1"/>
  <c r="Q73" i="3"/>
  <c r="I30" i="5" s="1"/>
  <c r="K30" i="5" s="1"/>
  <c r="P75" i="3"/>
  <c r="J23" i="5" s="1"/>
  <c r="I10" i="5"/>
  <c r="K10" i="5" s="1"/>
  <c r="P65" i="3"/>
  <c r="J10" i="5" s="1"/>
  <c r="P104" i="3"/>
  <c r="D3" i="5" s="1"/>
  <c r="C3" i="5"/>
  <c r="C5" i="5" s="1"/>
  <c r="C3" i="6" s="1"/>
  <c r="P121" i="3"/>
  <c r="D23" i="5" s="1"/>
  <c r="Q116" i="3"/>
  <c r="C27" i="5" s="1"/>
  <c r="Q120" i="3"/>
  <c r="C32" i="5" s="1"/>
  <c r="P120" i="3"/>
  <c r="D20" i="5" s="1"/>
  <c r="F24" i="5"/>
  <c r="E24" i="5" s="1"/>
  <c r="P116" i="3"/>
  <c r="D16" i="5" s="1"/>
  <c r="P119" i="3"/>
  <c r="D19" i="5" s="1"/>
  <c r="F11" i="5"/>
  <c r="E11" i="5" s="1"/>
  <c r="P111" i="3"/>
  <c r="D10" i="5" s="1"/>
  <c r="P117" i="3"/>
  <c r="D17" i="5" s="1"/>
  <c r="Q117" i="3"/>
  <c r="C28" i="5" s="1"/>
  <c r="C17" i="5"/>
  <c r="C9" i="5"/>
  <c r="Q70" i="3"/>
  <c r="I27" i="5" s="1"/>
  <c r="P70" i="3"/>
  <c r="J16" i="5" s="1"/>
  <c r="P74" i="3"/>
  <c r="J20" i="5" s="1"/>
  <c r="P71" i="3"/>
  <c r="J17" i="5" s="1"/>
  <c r="Q71" i="3"/>
  <c r="I28" i="5" s="1"/>
  <c r="K28" i="5" s="1"/>
  <c r="Q118" i="3"/>
  <c r="C29" i="5" s="1"/>
  <c r="Q119" i="3"/>
  <c r="C30" i="5" s="1"/>
  <c r="P105" i="3"/>
  <c r="D4" i="5" s="1"/>
  <c r="P122" i="3"/>
  <c r="D24" i="5" s="1"/>
  <c r="C16" i="5"/>
  <c r="I3" i="5"/>
  <c r="P73" i="3"/>
  <c r="J19" i="5" s="1"/>
  <c r="Q94" i="3"/>
  <c r="F28" i="5" s="1"/>
  <c r="P110" i="3"/>
  <c r="D9" i="5" s="1"/>
  <c r="P118" i="3"/>
  <c r="D18" i="5" s="1"/>
  <c r="P66" i="3"/>
  <c r="J11" i="5" s="1"/>
  <c r="I4" i="5"/>
  <c r="P59" i="3"/>
  <c r="J4" i="5" s="1"/>
  <c r="F7" i="5"/>
  <c r="C20" i="5"/>
  <c r="P72" i="3"/>
  <c r="J18" i="5" s="1"/>
  <c r="P109" i="3"/>
  <c r="D8" i="5" s="1"/>
  <c r="P108" i="3"/>
  <c r="D7" i="5" s="1"/>
  <c r="N6" i="9" l="1"/>
  <c r="N8" i="9" s="1"/>
  <c r="I34" i="5"/>
  <c r="F6" i="6" s="1"/>
  <c r="C34" i="5"/>
  <c r="C6" i="6" s="1"/>
  <c r="E27" i="5"/>
  <c r="H3" i="7"/>
  <c r="O100" i="3"/>
  <c r="F5" i="5"/>
  <c r="D3" i="6" s="1"/>
  <c r="E3" i="6" s="1"/>
  <c r="E17" i="5"/>
  <c r="E28" i="7"/>
  <c r="H28" i="7" s="1"/>
  <c r="H13" i="5"/>
  <c r="F20" i="5"/>
  <c r="H20" i="5" s="1"/>
  <c r="F24" i="7"/>
  <c r="I24" i="7" s="1"/>
  <c r="J18" i="8"/>
  <c r="F5" i="7"/>
  <c r="I5" i="7" s="1"/>
  <c r="I3" i="7"/>
  <c r="H8" i="5"/>
  <c r="K13" i="5"/>
  <c r="K8" i="5"/>
  <c r="H22" i="8"/>
  <c r="B45" i="8" s="1"/>
  <c r="D45" i="8" s="1"/>
  <c r="B39" i="8"/>
  <c r="D39" i="8" s="1"/>
  <c r="B52" i="8"/>
  <c r="D52" i="8" s="1"/>
  <c r="I11" i="8"/>
  <c r="B57" i="8" s="1"/>
  <c r="D57" i="8" s="1"/>
  <c r="P95" i="3"/>
  <c r="G18" i="5" s="1"/>
  <c r="F23" i="7"/>
  <c r="I23" i="7" s="1"/>
  <c r="J17" i="8"/>
  <c r="F9" i="5"/>
  <c r="E9" i="5" s="1"/>
  <c r="F11" i="7"/>
  <c r="J6" i="8"/>
  <c r="O91" i="3"/>
  <c r="B62" i="8"/>
  <c r="D62" i="8" s="1"/>
  <c r="I22" i="8"/>
  <c r="B68" i="8" s="1"/>
  <c r="D68" i="8" s="1"/>
  <c r="P88" i="3"/>
  <c r="G10" i="5" s="1"/>
  <c r="F12" i="7"/>
  <c r="I12" i="7" s="1"/>
  <c r="J7" i="8"/>
  <c r="H16" i="5"/>
  <c r="F22" i="7"/>
  <c r="J16" i="8"/>
  <c r="J22" i="8" s="1"/>
  <c r="Q95" i="3"/>
  <c r="F29" i="5" s="1"/>
  <c r="E29" i="5" s="1"/>
  <c r="F18" i="5"/>
  <c r="E18" i="5" s="1"/>
  <c r="B29" i="8"/>
  <c r="D29" i="8" s="1"/>
  <c r="H11" i="8"/>
  <c r="H23" i="5"/>
  <c r="I25" i="5"/>
  <c r="F5" i="6" s="1"/>
  <c r="I5" i="6" s="1"/>
  <c r="H17" i="5"/>
  <c r="U21" i="1"/>
  <c r="G11" i="8"/>
  <c r="G22" i="8"/>
  <c r="N21" i="1"/>
  <c r="C25" i="5"/>
  <c r="C5" i="6" s="1"/>
  <c r="C14" i="5"/>
  <c r="C4" i="6" s="1"/>
  <c r="I5" i="5"/>
  <c r="F3" i="6" s="1"/>
  <c r="I14" i="5"/>
  <c r="F4" i="6" s="1"/>
  <c r="P89" i="3"/>
  <c r="G11" i="5" s="1"/>
  <c r="E7" i="5"/>
  <c r="E3" i="5"/>
  <c r="E16" i="5"/>
  <c r="H27" i="5"/>
  <c r="K27" i="5"/>
  <c r="H3" i="5"/>
  <c r="K3" i="5"/>
  <c r="H4" i="5"/>
  <c r="K4" i="5"/>
  <c r="E28" i="5"/>
  <c r="E32" i="5"/>
  <c r="P96" i="3"/>
  <c r="G19" i="5" s="1"/>
  <c r="P99" i="3"/>
  <c r="G24" i="5" s="1"/>
  <c r="F19" i="5"/>
  <c r="E19" i="5" s="1"/>
  <c r="P93" i="3"/>
  <c r="G16" i="5" s="1"/>
  <c r="P94" i="3"/>
  <c r="G17" i="5" s="1"/>
  <c r="F10" i="5"/>
  <c r="E10" i="5" s="1"/>
  <c r="P97" i="3"/>
  <c r="G20" i="5" s="1"/>
  <c r="P98" i="3"/>
  <c r="G23" i="5" s="1"/>
  <c r="Q96" i="3"/>
  <c r="F30" i="5" s="1"/>
  <c r="P90" i="3"/>
  <c r="G13" i="5" s="1"/>
  <c r="H24" i="5"/>
  <c r="H7" i="5"/>
  <c r="H28" i="5"/>
  <c r="H11" i="5"/>
  <c r="P86" i="3"/>
  <c r="G8" i="5" s="1"/>
  <c r="P87" i="3"/>
  <c r="G9" i="5" s="1"/>
  <c r="P85" i="3"/>
  <c r="G7" i="5" s="1"/>
  <c r="H32" i="5"/>
  <c r="H29" i="5" l="1"/>
  <c r="F34" i="5"/>
  <c r="D6" i="6" s="1"/>
  <c r="E6" i="6" s="1"/>
  <c r="E20" i="5"/>
  <c r="J11" i="8"/>
  <c r="H18" i="5"/>
  <c r="H9" i="5"/>
  <c r="F28" i="7"/>
  <c r="I28" i="7" s="1"/>
  <c r="I22" i="7"/>
  <c r="F16" i="7"/>
  <c r="I16" i="7" s="1"/>
  <c r="I11" i="7"/>
  <c r="B34" i="8"/>
  <c r="D34" i="8" s="1"/>
  <c r="F25" i="5"/>
  <c r="D5" i="6" s="1"/>
  <c r="F14" i="5"/>
  <c r="D4" i="6" s="1"/>
  <c r="E4" i="6" s="1"/>
  <c r="I6" i="6"/>
  <c r="I4" i="6"/>
  <c r="G3" i="6"/>
  <c r="I3" i="6"/>
  <c r="H30" i="5"/>
  <c r="E30" i="5"/>
  <c r="H10" i="5"/>
  <c r="H19" i="5"/>
  <c r="E5" i="6" l="1"/>
  <c r="G5" i="6"/>
  <c r="G4" i="6"/>
  <c r="G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tc={1B1627FB-677D-4BBF-8CE3-62C43FCA028B}</author>
    <author>tc={2AED41E8-0162-4D20-AF97-9913FAF5C86C}</author>
    <author>tc={A58D4B14-6151-420F-A877-A39ED3400230}</author>
    <author>tc={79EA2BE1-1826-4CE6-908C-96ED1FB5C951}</author>
    <author>tc={0FEB766A-C899-4539-84EF-F8813A5813B0}</author>
    <author>tc={74A59FA0-A2CE-4543-9229-6E7B4154BAB7}</author>
    <author>tc={2D431436-2086-4196-A6E9-F5F411D9419F}</author>
    <author>tc={534EF98D-CAB2-47B0-A8D1-D1863B01D17A}</author>
    <author>tc={8CF648E8-E736-4777-B316-57352D046F83}</author>
    <author>tc={B10FA439-7E85-40D4-88B5-A5B122F0E3E8}</author>
  </authors>
  <commentList>
    <comment ref="F2" authorId="0" shapeId="0" xr:uid="{1B1627FB-677D-4BBF-8CE3-62C43FCA028B}">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 ref="C30" authorId="1" shapeId="0" xr:uid="{2AED41E8-0162-4D20-AF97-9913FAF5C86C}">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D30" authorId="2" shapeId="0" xr:uid="{A58D4B14-6151-420F-A877-A39ED3400230}">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fins el 7/02 i confimanet comarcal la resta del mes</t>
      </text>
    </comment>
    <comment ref="F30" authorId="3" shapeId="0" xr:uid="{79EA2BE1-1826-4CE6-908C-96ED1FB5C951}">
      <text>
        <t>[Comentari en fils]
La vostra versió de l'Excel us permet llegir aquest comentari en fils. No obstant això, les edicions que s'hi apliquin se suprimiran si el fitxer s'obre en una versió més recent de l'Excel. Més informació: https://go.microsoft.com/fwlink/?linkid=870924.
Comentari:
    Del 2-5/04 no hi ha confinament castell obert cada dia, del 6/04 al 30/04 confinament comarcal obert només caps de setmana matí</t>
      </text>
    </comment>
    <comment ref="G41" authorId="4" shapeId="0" xr:uid="{0FEB766A-C899-4539-84EF-F8813A5813B0}">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se n'ha realitzat cap, comencem el 5/06</t>
      </text>
    </comment>
    <comment ref="G51" authorId="5" shapeId="0" xr:uid="{74A59FA0-A2CE-4543-9229-6E7B4154BAB7}">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se n'ha realitzat cap, comencem el 5/06</t>
      </text>
    </comment>
    <comment ref="F57" authorId="6" shapeId="0" xr:uid="{2D431436-2086-4196-A6E9-F5F411D9419F}">
      <text>
        <t>[Comentari en fils]
La vostra versió de l'Excel us permet llegir aquest comentari en fils. No obstant això, les edicions que s'hi apliquin se suprimiran si el fitxer s'obre en una versió més recent de l'Excel. Més informació: https://go.microsoft.com/fwlink/?linkid=870924.
Comentari:
    Tancat: confinament</t>
      </text>
    </comment>
    <comment ref="G57" authorId="7" shapeId="0" xr:uid="{534EF98D-CAB2-47B0-A8D1-D1863B01D17A}">
      <text>
        <t>[Comentari en fils]
La vostra versió de l'Excel us permet llegir aquest comentari en fils. No obstant això, les edicions que s'hi apliquin se suprimiran si el fitxer s'obre en una versió més recent de l'Excel. Més informació: https://go.microsoft.com/fwlink/?linkid=870924.
Comentari:
    Tancat: confinament</t>
      </text>
    </comment>
    <comment ref="M57" authorId="8" shapeId="0" xr:uid="{8CF648E8-E736-4777-B316-57352D046F83}">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N57" authorId="9" shapeId="0" xr:uid="{B10FA439-7E85-40D4-88B5-A5B122F0E3E8}">
      <text>
        <t>[Comentari en fils]
La vostra versió de l'Excel us permet llegir aquest comentari en fils. No obstant això, les edicions que s'hi apliquin se suprimiran si el fitxer s'obre en una versió més recent de l'Excel. Més informació: https://go.microsoft.com/fwlink/?linkid=870924.
Comentari:
    Castell: obert 5 i 6 per residents locals, 7 i 8/12 i a partir del 19/12. OIT tancada caps de setmana fins el 19 i 20/12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tc={1D44D991-C2CA-4632-BF2C-1CF582C29A9D}</author>
    <author>tc={9298BA50-6375-4C3D-A1B2-D344E4EF56EA}</author>
    <author>tc={36A48A0F-9BDF-48FF-8D96-16332F10889A}</author>
  </authors>
  <commentList>
    <comment ref="E2" authorId="0" shapeId="0" xr:uid="{1D44D991-C2CA-4632-BF2C-1CF582C29A9D}">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 ref="E10" authorId="1" shapeId="0" xr:uid="{9298BA50-6375-4C3D-A1B2-D344E4EF56EA}">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 ref="E18" authorId="2" shapeId="0" xr:uid="{36A48A0F-9BDF-48FF-8D96-16332F10889A}">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tc={1E1EA8DC-D6F1-468C-B461-067963981D37}</author>
    <author>tc={909A97CB-8EF4-4A0E-B983-1ED4FFC5FAC6}</author>
    <author>tc={DDFA9049-C79F-4812-9558-E2E301E90D7A}</author>
    <author>tc={EFE0D729-464F-4F0D-B1F1-819E1B4782FA}</author>
    <author>tc={6F9C8097-F533-4871-985C-94BE161514AD}</author>
    <author>tc={897AE85D-4CF1-4D3A-B3AC-464B1C0F339F}</author>
  </authors>
  <commentList>
    <comment ref="B20" authorId="0" shapeId="0" xr:uid="{1E1EA8DC-D6F1-468C-B461-067963981D37}">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C20" authorId="1" shapeId="0" xr:uid="{909A97CB-8EF4-4A0E-B983-1ED4FFC5FAC6}">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fins el 7/02 i confimanet comarcal la resta del mes</t>
      </text>
    </comment>
    <comment ref="E20" authorId="2" shapeId="0" xr:uid="{DDFA9049-C79F-4812-9558-E2E301E90D7A}">
      <text>
        <t>[Comentari en fils]
La vostra versió de l'Excel us permet llegir aquest comentari en fils. No obstant això, les edicions que s'hi apliquin se suprimiran si el fitxer s'obre en una versió més recent de l'Excel. Més informació: https://go.microsoft.com/fwlink/?linkid=870924.
Comentari:
    Del 2-5/04 no hi ha confinament castell obert cada dia, del 6/04 al 30/04 confinament comarcal obert només caps de setmana matí</t>
      </text>
    </comment>
    <comment ref="B28" authorId="3" shapeId="0" xr:uid="{EFE0D729-464F-4F0D-B1F1-819E1B4782FA}">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C28" authorId="4" shapeId="0" xr:uid="{6F9C8097-F533-4871-985C-94BE161514AD}">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fins el 7/02 i confimanet comarcal la resta del mes</t>
      </text>
    </comment>
    <comment ref="E28" authorId="5" shapeId="0" xr:uid="{897AE85D-4CF1-4D3A-B3AC-464B1C0F339F}">
      <text>
        <t>[Comentari en fils]
La vostra versió de l'Excel us permet llegir aquest comentari en fils. No obstant això, les edicions que s'hi apliquin se suprimiran si el fitxer s'obre en una versió més recent de l'Excel. Més informació: https://go.microsoft.com/fwlink/?linkid=870924.
Comentari:
    Del 2-5/04 no hi ha confinament castell obert cada dia, del 6/04 al 30/04 confinament comarcal obert només caps de setmana matí</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Centre Domus Sent Sovi</author>
    <author>tc={B596419C-6633-475F-9326-CA441FB13387}</author>
  </authors>
  <commentList>
    <comment ref="S20" authorId="0" shapeId="0" xr:uid="{00000000-0006-0000-0200-000001000000}">
      <text>
        <r>
          <rPr>
            <b/>
            <sz val="9"/>
            <color indexed="81"/>
            <rFont val="Tahoma"/>
            <family val="2"/>
          </rPr>
          <t>Centre Domus Sent Sovi:</t>
        </r>
        <r>
          <rPr>
            <sz val="9"/>
            <color indexed="81"/>
            <rFont val="Tahoma"/>
            <family val="2"/>
          </rPr>
          <t xml:space="preserve">
Falta afegir els esdeveniments del castell que no sé on són</t>
        </r>
      </text>
    </comment>
    <comment ref="S21" authorId="1" shapeId="0" xr:uid="{B596419C-6633-475F-9326-CA441FB13387}">
      <text>
        <t>[Comentari en fils]
La vostra versió de l'Excel us permet llegir aquest comentari en fils. No obstant això, les edicions que s'hi apliquin se suprimiran si el fitxer s'obre en una versió més recent de l'Excel. Més informació: https://go.microsoft.com/fwlink/?linkid=870924.
Comentari:
    Falta afegir els esdeveniments/ingressos del castell</t>
      </text>
    </comment>
  </commentList>
</comments>
</file>

<file path=xl/sharedStrings.xml><?xml version="1.0" encoding="utf-8"?>
<sst xmlns="http://schemas.openxmlformats.org/spreadsheetml/2006/main" count="672" uniqueCount="102">
  <si>
    <t>ANYS</t>
  </si>
  <si>
    <t>ENTRADES AL CASTELL</t>
  </si>
  <si>
    <t>VISITES CLAU</t>
  </si>
  <si>
    <t>BUS NO CONCERTATS</t>
  </si>
  <si>
    <t>ACTIVITATS DOMUS</t>
  </si>
  <si>
    <t>USUARIS TOTALS</t>
  </si>
  <si>
    <t>NOTES:</t>
  </si>
  <si>
    <t>Any 2010 i 2011: visites guiades cap de setmana eren al castell i també al recinte medieval i combinades amb tastet al Panxu.</t>
  </si>
  <si>
    <t>Any 2012 ja es va obrir el castell.</t>
  </si>
  <si>
    <t>Any 2016: el castell va estar tancat una bona temporada. No aconsegueixo trobar dades.</t>
  </si>
  <si>
    <t>Any 2017: Hem pogut comptabilitzar la majoria dels busos no concertats que han deixat benefici en forma de visites amb clau, vendes productes botiga i comerços poble.</t>
  </si>
  <si>
    <t>Any 2015: molta diferència negativa a les visites amb clau. He tret dades del gestor i de l'excel de caixa.</t>
  </si>
  <si>
    <t xml:space="preserve">** NO es compten "activitats Domus" en el total, ja que serien pax doblades. </t>
  </si>
  <si>
    <t>VISITES GUIADES CONCERTADES</t>
  </si>
  <si>
    <t>(ingressos)</t>
  </si>
  <si>
    <t>%</t>
  </si>
  <si>
    <t>Preu mig</t>
  </si>
  <si>
    <t>Ingressos Entrades</t>
  </si>
  <si>
    <t>Ingressos Visites</t>
  </si>
  <si>
    <t>(persones)</t>
  </si>
  <si>
    <t>(grups)</t>
  </si>
  <si>
    <t>INGRESSOS TOTALS</t>
  </si>
  <si>
    <t>TORRE DELS FRARES</t>
  </si>
  <si>
    <t>església</t>
  </si>
  <si>
    <t>OIT DOMUS</t>
  </si>
  <si>
    <t>OIT CASTELL</t>
  </si>
  <si>
    <t>Presencial</t>
  </si>
  <si>
    <t>Telèfon</t>
  </si>
  <si>
    <t>Whatsapp</t>
  </si>
  <si>
    <t>Correu</t>
  </si>
  <si>
    <t>TOTALS</t>
  </si>
  <si>
    <t>Var. Anual</t>
  </si>
  <si>
    <t>(esdeveniments)</t>
  </si>
  <si>
    <t>LLOGUERS ESPAIS (domus+Castell)</t>
  </si>
  <si>
    <t>VISITES CAP SETMANA (+medieval/teatralitzades)</t>
  </si>
  <si>
    <t>Entrades Castell</t>
  </si>
  <si>
    <t>Visites clau</t>
  </si>
  <si>
    <t>Torre Frares</t>
  </si>
  <si>
    <t>Nombre usuaris</t>
  </si>
  <si>
    <t>Ingressos</t>
  </si>
  <si>
    <t>Església</t>
  </si>
  <si>
    <t>Nov</t>
  </si>
  <si>
    <t>Des</t>
  </si>
  <si>
    <t>Oct</t>
  </si>
  <si>
    <t>Set</t>
  </si>
  <si>
    <t>Gen</t>
  </si>
  <si>
    <t>Feb</t>
  </si>
  <si>
    <t>Mar</t>
  </si>
  <si>
    <t>Abr</t>
  </si>
  <si>
    <t>Mai</t>
  </si>
  <si>
    <t>Jun</t>
  </si>
  <si>
    <t>Jul</t>
  </si>
  <si>
    <t>Ago</t>
  </si>
  <si>
    <t>Visites guiades c/set</t>
  </si>
  <si>
    <t>Visites guiades grups</t>
  </si>
  <si>
    <t>Castell</t>
  </si>
  <si>
    <t>Consultes turístiques</t>
  </si>
  <si>
    <t>TOTAL</t>
  </si>
  <si>
    <t>Botiga Domus</t>
  </si>
  <si>
    <t xml:space="preserve">% T. prod. </t>
  </si>
  <si>
    <t>% Distribució</t>
  </si>
  <si>
    <t>Botiga Castell</t>
  </si>
  <si>
    <t xml:space="preserve">Botiga Castell </t>
  </si>
  <si>
    <t>Oficina de Turisme</t>
  </si>
  <si>
    <t>Total</t>
  </si>
  <si>
    <t>% distrib.</t>
  </si>
  <si>
    <t>BOTIGA (Domus/Castell)</t>
  </si>
  <si>
    <t xml:space="preserve">% Var. </t>
  </si>
  <si>
    <t xml:space="preserve">2019 (Oct-Des) </t>
  </si>
  <si>
    <t>Visites guiades castell</t>
  </si>
  <si>
    <t>Visita en clau</t>
  </si>
  <si>
    <t>Visita guiada recinte</t>
  </si>
  <si>
    <t>Total usuaris</t>
  </si>
  <si>
    <t>total ingressos</t>
  </si>
  <si>
    <t>% Tiqets sobre el total (nº usuaris)</t>
  </si>
  <si>
    <t>RESUM ESTADÍSTIQUES</t>
  </si>
  <si>
    <t>Vendes Tiqets (euros)</t>
  </si>
  <si>
    <t>% increment 21-20</t>
  </si>
  <si>
    <t>% increment 21-19</t>
  </si>
  <si>
    <t>INGRESSOS</t>
  </si>
  <si>
    <t>PERSONES</t>
  </si>
  <si>
    <t>2021 - INGRESSOS TIQETS</t>
  </si>
  <si>
    <t>2021 - PERSONES TIQETS</t>
  </si>
  <si>
    <t>J-J-A-S</t>
  </si>
  <si>
    <t>ESTIU (J-J-A-S)</t>
  </si>
  <si>
    <t>ACUM SETEMBRE</t>
  </si>
  <si>
    <t>Acumulat SET</t>
  </si>
  <si>
    <t xml:space="preserve">Acumulat SET </t>
  </si>
  <si>
    <t>Acumulat total</t>
  </si>
  <si>
    <t xml:space="preserve">Acumulat total </t>
  </si>
  <si>
    <t>% 19-20</t>
  </si>
  <si>
    <t>% 20-21</t>
  </si>
  <si>
    <t>Vendes Tiqets (entrades/persones)</t>
  </si>
  <si>
    <t>Nombre persones</t>
  </si>
  <si>
    <t>% increment 22-21</t>
  </si>
  <si>
    <t>2022 - PERSONES TIQETS</t>
  </si>
  <si>
    <t>2022 - INGRESSOS TIQETS</t>
  </si>
  <si>
    <t>Nombre d'usuaris</t>
  </si>
  <si>
    <t>Visites teatralitzades</t>
  </si>
  <si>
    <t>TOTAL 5 anys</t>
  </si>
  <si>
    <t>Visitants</t>
  </si>
  <si>
    <t>estiu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</si>
</sst>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_-* #,##0\ _€_-;\-* #,##0\ _€_-;_-* &quot;-&quot;??\ _€_-;_-@_-"/>
    <numFmt numFmtId="166" formatCode="#,##0\ &quot;€&quot;"/>
    <numFmt numFmtId="167" formatCode="#,##0.00\ &quot;€&quot;"/>
  </numFmts>
  <fonts count="21" x14ac:knownFonts="1">
    <font>
      <sz val="11"/>
      <color theme="1"/>
      <name val="Calibri"/>
      <family val="2"/>
      <scheme val="minor"/>
    </font>
    <font>
      <b/>
      <sz val="11"/>
      <color indexed="8"/>
      <name val="Calibri"/>
      <family val="2"/>
    </font>
    <font>
      <sz val="10"/>
      <color indexed="8"/>
      <name val="Calibri"/>
      <family val="2"/>
    </font>
    <font>
      <sz val="9"/>
      <color indexed="8"/>
      <name val="Calibri"/>
      <family val="2"/>
    </font>
    <font>
      <sz val="11"/>
      <color indexed="8"/>
      <name val="Calibri"/>
      <family val="2"/>
    </font>
    <font>
      <sz val="11"/>
      <color indexed="10"/>
      <name val="Calibri"/>
      <family val="2"/>
    </font>
    <font>
      <sz val="9"/>
      <color indexed="8"/>
      <name val="Verdana"/>
      <family val="2"/>
    </font>
    <font>
      <sz val="9"/>
      <color indexed="81"/>
      <name val="Tahoma"/>
      <family val="2"/>
    </font>
    <font>
      <b/>
      <sz val="9"/>
      <color indexed="81"/>
      <name val="Tahoma"/>
      <family val="2"/>
    </font>
    <font>
      <sz val="11"/>
      <color indexed="9"/>
      <name val="Calibri"/>
      <family val="2"/>
    </font>
    <font>
      <sz val="11"/>
      <color indexed="8"/>
      <name val="Calibri"/>
      <family val="2"/>
    </font>
    <font>
      <b/>
      <sz val="11"/>
      <color indexed="10"/>
      <name val="Calibri"/>
      <family val="2"/>
    </font>
    <font>
      <sz val="11"/>
      <name val="Calibri"/>
      <family val="2"/>
    </font>
    <font>
      <b/>
      <sz val="11"/>
      <name val="Calibri"/>
      <family val="2"/>
    </font>
    <font>
      <b/>
      <sz val="9"/>
      <name val="Verdana"/>
      <family val="2"/>
    </font>
    <font>
      <sz val="11"/>
      <name val="Calibri"/>
      <family val="2"/>
      <scheme val="minor"/>
    </font>
    <font>
      <b/>
      <sz val="11"/>
      <color theme="1"/>
      <name val="Calibri"/>
      <family val="2"/>
      <scheme val="minor"/>
    </font>
    <font>
      <b/>
      <sz val="11"/>
      <color rgb="FF000000"/>
      <name val="Calibri"/>
      <family val="2"/>
    </font>
    <font>
      <sz val="11"/>
      <color rgb="FF000000"/>
      <name val="Calibri"/>
      <family val="2"/>
    </font>
    <font>
      <b/>
      <sz val="11"/>
      <name val="Calibri"/>
      <family val="2"/>
      <scheme val="minor"/>
    </font>
    <font>
      <sz val="8"/>
      <name val="Calibri"/>
      <family val="2"/>
      <scheme val="minor"/>
    </font>
  </fonts>
  <fills count="3">
    <fill>
      <patternFill patternType="none"/>
    </fill>
    <fill>
      <patternFill patternType="gray125"/>
    </fill>
    <fill>
      <patternFill patternType="solid">
        <fgColor indexed="4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4" fontId="4" fillId="0" borderId="0" applyFont="0" applyFill="0" applyBorder="0" applyAlignment="0" applyProtection="0"/>
    <xf numFmtId="164" fontId="10"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cellStyleXfs>
  <cellXfs count="407">
    <xf numFmtId="0" fontId="0" fillId="0" borderId="0" xfId="0"/>
    <xf numFmtId="0" fontId="0" fillId="0" borderId="1" xfId="0" applyBorder="1" applyAlignment="1">
      <alignment horizontal="center"/>
    </xf>
    <xf numFmtId="0" fontId="2" fillId="0" borderId="0" xfId="0" applyFont="1"/>
    <xf numFmtId="0" fontId="2" fillId="0" borderId="0" xfId="0" quotePrefix="1" applyFont="1"/>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0" fillId="0" borderId="0" xfId="1" applyFont="1"/>
    <xf numFmtId="164" fontId="0" fillId="0" borderId="0" xfId="1" applyFont="1" applyAlignment="1"/>
    <xf numFmtId="0" fontId="1" fillId="0" borderId="5" xfId="0" applyFon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44" fontId="0" fillId="0" borderId="8" xfId="3" applyFont="1" applyBorder="1" applyAlignment="1">
      <alignment horizontal="center"/>
    </xf>
    <xf numFmtId="44" fontId="0" fillId="0" borderId="9" xfId="3" applyFont="1" applyBorder="1" applyAlignment="1">
      <alignment horizontal="center"/>
    </xf>
    <xf numFmtId="44" fontId="0" fillId="0" borderId="10" xfId="3" applyFont="1" applyBorder="1" applyAlignment="1">
      <alignment horizontal="center"/>
    </xf>
    <xf numFmtId="164" fontId="0" fillId="0" borderId="8" xfId="1" applyFont="1" applyBorder="1"/>
    <xf numFmtId="164" fontId="0" fillId="0" borderId="8" xfId="1" applyFont="1" applyBorder="1" applyAlignment="1">
      <alignment horizontal="center"/>
    </xf>
    <xf numFmtId="164" fontId="0" fillId="0" borderId="9" xfId="1" applyFont="1" applyBorder="1" applyAlignment="1">
      <alignment horizontal="center"/>
    </xf>
    <xf numFmtId="164" fontId="0" fillId="0" borderId="10" xfId="1" applyFont="1" applyBorder="1"/>
    <xf numFmtId="164" fontId="0" fillId="0" borderId="10" xfId="1" applyFont="1" applyBorder="1" applyAlignment="1">
      <alignment horizontal="center"/>
    </xf>
    <xf numFmtId="165" fontId="0" fillId="0" borderId="11" xfId="1" applyNumberFormat="1" applyFont="1" applyBorder="1" applyAlignment="1">
      <alignment horizontal="center"/>
    </xf>
    <xf numFmtId="165" fontId="0" fillId="0" borderId="1" xfId="1" applyNumberFormat="1" applyFont="1" applyBorder="1" applyAlignment="1">
      <alignment horizontal="center"/>
    </xf>
    <xf numFmtId="165" fontId="0" fillId="0" borderId="12" xfId="1" applyNumberFormat="1" applyFont="1" applyBorder="1" applyAlignment="1">
      <alignment horizontal="center"/>
    </xf>
    <xf numFmtId="165" fontId="0" fillId="0" borderId="13" xfId="1" applyNumberFormat="1" applyFont="1" applyBorder="1" applyAlignment="1">
      <alignment horizontal="center"/>
    </xf>
    <xf numFmtId="165" fontId="0" fillId="0" borderId="14" xfId="1" applyNumberFormat="1" applyFont="1" applyBorder="1" applyAlignment="1">
      <alignment horizontal="center"/>
    </xf>
    <xf numFmtId="165" fontId="0" fillId="0" borderId="15" xfId="1" applyNumberFormat="1" applyFont="1" applyBorder="1" applyAlignment="1">
      <alignment horizontal="center"/>
    </xf>
    <xf numFmtId="165" fontId="0" fillId="0" borderId="11" xfId="1" applyNumberFormat="1" applyFont="1" applyBorder="1"/>
    <xf numFmtId="165" fontId="0" fillId="0" borderId="14" xfId="1" applyNumberFormat="1" applyFont="1" applyBorder="1"/>
    <xf numFmtId="165" fontId="1" fillId="0" borderId="16" xfId="1" applyNumberFormat="1" applyFont="1" applyBorder="1" applyAlignment="1">
      <alignment horizontal="center"/>
    </xf>
    <xf numFmtId="0" fontId="1" fillId="0" borderId="0" xfId="0" applyFont="1" applyBorder="1" applyAlignment="1">
      <alignment horizontal="center"/>
    </xf>
    <xf numFmtId="44" fontId="0" fillId="0" borderId="0" xfId="3" applyFont="1" applyBorder="1"/>
    <xf numFmtId="0" fontId="1" fillId="0" borderId="1" xfId="0" applyFont="1" applyBorder="1" applyAlignment="1">
      <alignment horizontal="center"/>
    </xf>
    <xf numFmtId="0" fontId="1" fillId="0" borderId="1" xfId="0" applyFont="1" applyBorder="1"/>
    <xf numFmtId="9" fontId="0" fillId="0" borderId="1" xfId="6" applyFont="1" applyBorder="1"/>
    <xf numFmtId="44" fontId="0" fillId="0" borderId="1" xfId="3" applyFont="1" applyBorder="1"/>
    <xf numFmtId="0" fontId="0" fillId="0" borderId="17" xfId="0" applyBorder="1"/>
    <xf numFmtId="0" fontId="0" fillId="0" borderId="11" xfId="0" applyBorder="1"/>
    <xf numFmtId="0" fontId="1" fillId="0" borderId="8" xfId="0" applyFont="1" applyBorder="1"/>
    <xf numFmtId="0" fontId="6" fillId="0" borderId="11" xfId="0" applyFont="1" applyBorder="1" applyAlignment="1">
      <alignment horizontal="right" vertical="center" wrapText="1"/>
    </xf>
    <xf numFmtId="44" fontId="0" fillId="0" borderId="8" xfId="3" applyFont="1" applyBorder="1"/>
    <xf numFmtId="165" fontId="1" fillId="0" borderId="18" xfId="1" applyNumberFormat="1" applyFont="1" applyBorder="1" applyAlignment="1">
      <alignment horizontal="center"/>
    </xf>
    <xf numFmtId="0" fontId="0" fillId="0" borderId="19" xfId="0" applyBorder="1" applyAlignment="1">
      <alignment vertical="center" wrapText="1"/>
    </xf>
    <xf numFmtId="0" fontId="0" fillId="0" borderId="20" xfId="0" applyBorder="1" applyAlignment="1">
      <alignment vertical="center" wrapText="1"/>
    </xf>
    <xf numFmtId="0" fontId="0" fillId="0" borderId="16" xfId="0" applyBorder="1"/>
    <xf numFmtId="44" fontId="0" fillId="0" borderId="16" xfId="0" applyNumberFormat="1" applyBorder="1"/>
    <xf numFmtId="44" fontId="0" fillId="0" borderId="18" xfId="0" applyNumberFormat="1" applyBorder="1"/>
    <xf numFmtId="44" fontId="0" fillId="0" borderId="21" xfId="3" applyFont="1" applyBorder="1" applyAlignment="1">
      <alignment horizontal="center"/>
    </xf>
    <xf numFmtId="44" fontId="0" fillId="0" borderId="22" xfId="3" applyFont="1" applyBorder="1" applyAlignment="1">
      <alignment horizontal="center"/>
    </xf>
    <xf numFmtId="44" fontId="0" fillId="0" borderId="23" xfId="3" applyFont="1" applyBorder="1"/>
    <xf numFmtId="44" fontId="0" fillId="0" borderId="16" xfId="3" applyFont="1" applyBorder="1" applyAlignment="1">
      <alignment horizontal="center"/>
    </xf>
    <xf numFmtId="44" fontId="0" fillId="0" borderId="24" xfId="3" applyFont="1" applyBorder="1" applyAlignment="1">
      <alignment horizontal="center"/>
    </xf>
    <xf numFmtId="44" fontId="0" fillId="0" borderId="18" xfId="3" applyFont="1" applyBorder="1"/>
    <xf numFmtId="0" fontId="0" fillId="0" borderId="0" xfId="0" applyFont="1" applyBorder="1"/>
    <xf numFmtId="0" fontId="0" fillId="0" borderId="1" xfId="0" applyFont="1" applyBorder="1" applyAlignment="1">
      <alignment vertical="center" wrapText="1"/>
    </xf>
    <xf numFmtId="0" fontId="1" fillId="0" borderId="1" xfId="0" applyFont="1" applyBorder="1" applyAlignment="1">
      <alignment horizontal="center" vertical="center" wrapText="1"/>
    </xf>
    <xf numFmtId="9" fontId="0" fillId="0" borderId="1" xfId="6" applyFont="1" applyBorder="1" applyAlignment="1">
      <alignment horizontal="center"/>
    </xf>
    <xf numFmtId="165" fontId="1" fillId="0" borderId="1" xfId="0" applyNumberFormat="1" applyFont="1" applyBorder="1"/>
    <xf numFmtId="9" fontId="0" fillId="0" borderId="0" xfId="6" applyFont="1" applyBorder="1" applyAlignment="1">
      <alignment horizontal="center"/>
    </xf>
    <xf numFmtId="2" fontId="0" fillId="0" borderId="1" xfId="0" applyNumberFormat="1" applyBorder="1"/>
    <xf numFmtId="165" fontId="5" fillId="0" borderId="1" xfId="1" applyNumberFormat="1" applyFont="1" applyBorder="1" applyAlignment="1">
      <alignment horizontal="center"/>
    </xf>
    <xf numFmtId="44" fontId="5" fillId="0" borderId="8" xfId="3" applyFont="1" applyBorder="1" applyAlignment="1">
      <alignment horizontal="center"/>
    </xf>
    <xf numFmtId="44" fontId="0" fillId="0" borderId="21" xfId="3" applyFont="1" applyBorder="1"/>
    <xf numFmtId="165" fontId="0" fillId="0" borderId="12" xfId="1" applyNumberFormat="1" applyFont="1" applyFill="1" applyBorder="1" applyAlignment="1">
      <alignment horizontal="center"/>
    </xf>
    <xf numFmtId="44" fontId="0" fillId="0" borderId="22" xfId="3" applyFont="1" applyFill="1" applyBorder="1" applyAlignment="1">
      <alignment horizontal="center"/>
    </xf>
    <xf numFmtId="44" fontId="5" fillId="0" borderId="23" xfId="3" applyFont="1" applyBorder="1"/>
    <xf numFmtId="164" fontId="0" fillId="0" borderId="25" xfId="1" applyFont="1" applyBorder="1"/>
    <xf numFmtId="165" fontId="0" fillId="0" borderId="16" xfId="1" applyNumberFormat="1" applyFont="1" applyBorder="1"/>
    <xf numFmtId="165" fontId="0" fillId="0" borderId="24" xfId="1" applyNumberFormat="1" applyFont="1" applyBorder="1" applyAlignment="1">
      <alignment horizontal="center"/>
    </xf>
    <xf numFmtId="165" fontId="0" fillId="0" borderId="18" xfId="1" applyNumberFormat="1" applyFont="1" applyBorder="1"/>
    <xf numFmtId="0" fontId="1" fillId="0" borderId="0" xfId="0" applyFont="1"/>
    <xf numFmtId="1" fontId="0" fillId="0" borderId="12" xfId="3" applyNumberFormat="1" applyFont="1" applyFill="1" applyBorder="1" applyAlignment="1">
      <alignment horizontal="center"/>
    </xf>
    <xf numFmtId="1" fontId="0" fillId="0" borderId="11" xfId="3" applyNumberFormat="1" applyFont="1" applyBorder="1" applyAlignment="1">
      <alignment horizontal="center"/>
    </xf>
    <xf numFmtId="0" fontId="0" fillId="0" borderId="0" xfId="0" applyBorder="1" applyAlignment="1">
      <alignment horizontal="center"/>
    </xf>
    <xf numFmtId="42" fontId="0" fillId="0" borderId="0" xfId="0" applyNumberFormat="1" applyBorder="1"/>
    <xf numFmtId="44" fontId="1" fillId="0" borderId="26" xfId="3" applyFont="1" applyBorder="1"/>
    <xf numFmtId="0" fontId="1" fillId="0" borderId="26"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0" fontId="1" fillId="0" borderId="2" xfId="0" applyFont="1" applyBorder="1"/>
    <xf numFmtId="0" fontId="0" fillId="0" borderId="19" xfId="0" applyBorder="1" applyAlignment="1">
      <alignment horizontal="center"/>
    </xf>
    <xf numFmtId="0" fontId="1" fillId="0" borderId="29" xfId="0" applyFont="1" applyBorder="1"/>
    <xf numFmtId="0" fontId="0" fillId="0" borderId="20" xfId="0" applyBorder="1" applyAlignment="1">
      <alignment horizontal="center"/>
    </xf>
    <xf numFmtId="6" fontId="0" fillId="0" borderId="0" xfId="0" applyNumberFormat="1" applyBorder="1"/>
    <xf numFmtId="9" fontId="0" fillId="0" borderId="0" xfId="5" applyFont="1"/>
    <xf numFmtId="44" fontId="0" fillId="0" borderId="0" xfId="4" applyFont="1"/>
    <xf numFmtId="164" fontId="1" fillId="0" borderId="27" xfId="1" applyFont="1" applyBorder="1"/>
    <xf numFmtId="164" fontId="1" fillId="0" borderId="26" xfId="1" applyFont="1" applyBorder="1"/>
    <xf numFmtId="0" fontId="0" fillId="0" borderId="0" xfId="0" applyFont="1"/>
    <xf numFmtId="0" fontId="0" fillId="0" borderId="0" xfId="0" applyAlignment="1">
      <alignment horizontal="center"/>
    </xf>
    <xf numFmtId="3" fontId="0" fillId="0" borderId="0" xfId="0" applyNumberFormat="1" applyAlignment="1">
      <alignment horizontal="center"/>
    </xf>
    <xf numFmtId="1" fontId="0" fillId="0" borderId="0" xfId="0" applyNumberFormat="1" applyAlignment="1">
      <alignment horizontal="center"/>
    </xf>
    <xf numFmtId="9" fontId="0" fillId="0" borderId="0" xfId="0" applyNumberFormat="1"/>
    <xf numFmtId="165" fontId="1" fillId="0" borderId="28" xfId="1" applyNumberFormat="1" applyFont="1" applyBorder="1"/>
    <xf numFmtId="165" fontId="1" fillId="0" borderId="26" xfId="1" applyNumberFormat="1" applyFont="1" applyBorder="1"/>
    <xf numFmtId="165" fontId="1" fillId="0" borderId="27" xfId="1" applyNumberFormat="1" applyFont="1" applyBorder="1"/>
    <xf numFmtId="44" fontId="1" fillId="0" borderId="27" xfId="3" applyFont="1" applyBorder="1"/>
    <xf numFmtId="166" fontId="0" fillId="0" borderId="0" xfId="0" applyNumberFormat="1" applyBorder="1"/>
    <xf numFmtId="166" fontId="0" fillId="0" borderId="20" xfId="0" applyNumberFormat="1" applyBorder="1"/>
    <xf numFmtId="44" fontId="0" fillId="0" borderId="20" xfId="3" applyFont="1" applyBorder="1"/>
    <xf numFmtId="9" fontId="0" fillId="0" borderId="0" xfId="6" applyFont="1"/>
    <xf numFmtId="42" fontId="0" fillId="0" borderId="19" xfId="0" applyNumberFormat="1" applyBorder="1"/>
    <xf numFmtId="44" fontId="1" fillId="0" borderId="28" xfId="3" applyFont="1" applyBorder="1"/>
    <xf numFmtId="3" fontId="0" fillId="0" borderId="0" xfId="0" applyNumberFormat="1" applyBorder="1" applyAlignment="1">
      <alignment horizontal="center"/>
    </xf>
    <xf numFmtId="3" fontId="0" fillId="0" borderId="20" xfId="0" applyNumberFormat="1" applyBorder="1" applyAlignment="1">
      <alignment horizontal="center"/>
    </xf>
    <xf numFmtId="10" fontId="0" fillId="0" borderId="0" xfId="0" applyNumberFormat="1"/>
    <xf numFmtId="0" fontId="0" fillId="0" borderId="27" xfId="0" applyBorder="1"/>
    <xf numFmtId="165" fontId="0" fillId="0" borderId="0" xfId="1" applyNumberFormat="1" applyFont="1" applyBorder="1"/>
    <xf numFmtId="9" fontId="0" fillId="0" borderId="0" xfId="6" applyFont="1" applyBorder="1"/>
    <xf numFmtId="9" fontId="0" fillId="0" borderId="26" xfId="6" applyFont="1" applyBorder="1"/>
    <xf numFmtId="44" fontId="0" fillId="0" borderId="0" xfId="0" applyNumberFormat="1" applyBorder="1"/>
    <xf numFmtId="44" fontId="0" fillId="0" borderId="20" xfId="0" applyNumberFormat="1" applyBorder="1"/>
    <xf numFmtId="9" fontId="0" fillId="0" borderId="20" xfId="6" applyFont="1" applyBorder="1"/>
    <xf numFmtId="9" fontId="0" fillId="0" borderId="27" xfId="6" applyFont="1" applyBorder="1"/>
    <xf numFmtId="9" fontId="0" fillId="0" borderId="19" xfId="6" applyFont="1" applyBorder="1"/>
    <xf numFmtId="165" fontId="0" fillId="0" borderId="19" xfId="1" applyNumberFormat="1" applyFont="1" applyBorder="1"/>
    <xf numFmtId="9" fontId="0" fillId="0" borderId="28" xfId="6" applyFont="1" applyBorder="1"/>
    <xf numFmtId="165" fontId="0" fillId="0" borderId="20" xfId="1" applyNumberFormat="1" applyFont="1" applyBorder="1"/>
    <xf numFmtId="0" fontId="13" fillId="2" borderId="0" xfId="0" applyFont="1" applyFill="1" applyBorder="1" applyAlignment="1">
      <alignment horizontal="center"/>
    </xf>
    <xf numFmtId="0" fontId="13" fillId="2" borderId="26" xfId="0" applyFont="1" applyFill="1" applyBorder="1" applyAlignment="1">
      <alignment horizontal="center"/>
    </xf>
    <xf numFmtId="0" fontId="15" fillId="0" borderId="0" xfId="0" applyFont="1"/>
    <xf numFmtId="0" fontId="13" fillId="2" borderId="30" xfId="0" applyFont="1" applyFill="1" applyBorder="1" applyAlignment="1">
      <alignment horizontal="center"/>
    </xf>
    <xf numFmtId="0" fontId="13" fillId="2" borderId="31"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Fill="1" applyBorder="1" applyAlignment="1">
      <alignment horizontal="center"/>
    </xf>
    <xf numFmtId="165" fontId="0" fillId="0" borderId="1" xfId="1" applyNumberFormat="1" applyFont="1" applyBorder="1" applyAlignment="1"/>
    <xf numFmtId="0" fontId="0" fillId="0" borderId="19" xfId="0" applyBorder="1" applyAlignment="1">
      <alignment horizontal="center"/>
    </xf>
    <xf numFmtId="0" fontId="14" fillId="2" borderId="0" xfId="0" applyFont="1" applyFill="1" applyBorder="1" applyAlignment="1">
      <alignment horizontal="center" vertical="center" wrapText="1"/>
    </xf>
    <xf numFmtId="0" fontId="0" fillId="0" borderId="0" xfId="0" applyBorder="1" applyAlignment="1">
      <alignment horizontal="center"/>
    </xf>
    <xf numFmtId="0" fontId="1" fillId="0" borderId="3" xfId="0" applyFont="1" applyBorder="1" applyAlignment="1">
      <alignment horizontal="center"/>
    </xf>
    <xf numFmtId="0" fontId="1" fillId="0" borderId="26" xfId="0" applyFont="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29" xfId="0" applyFont="1" applyBorder="1" applyAlignment="1">
      <alignment horizontal="left"/>
    </xf>
    <xf numFmtId="165" fontId="0" fillId="0" borderId="5" xfId="1" applyNumberFormat="1" applyFont="1" applyBorder="1"/>
    <xf numFmtId="165" fontId="0" fillId="0" borderId="34" xfId="1" applyNumberFormat="1" applyFont="1" applyBorder="1"/>
    <xf numFmtId="0" fontId="0" fillId="0" borderId="0" xfId="0" applyBorder="1"/>
    <xf numFmtId="165" fontId="0" fillId="0" borderId="3" xfId="1" applyNumberFormat="1" applyFont="1" applyBorder="1"/>
    <xf numFmtId="44" fontId="0" fillId="0" borderId="5" xfId="3" applyFont="1" applyBorder="1"/>
    <xf numFmtId="44" fontId="0" fillId="0" borderId="3" xfId="3" applyFont="1" applyBorder="1"/>
    <xf numFmtId="44" fontId="0" fillId="0" borderId="34" xfId="3" applyFont="1" applyBorder="1"/>
    <xf numFmtId="9" fontId="0" fillId="0" borderId="5" xfId="6" applyFont="1" applyBorder="1"/>
    <xf numFmtId="9" fontId="0" fillId="0" borderId="34" xfId="6" applyFont="1" applyBorder="1"/>
    <xf numFmtId="9" fontId="0" fillId="0" borderId="3" xfId="6" applyFont="1" applyBorder="1"/>
    <xf numFmtId="44" fontId="0" fillId="0" borderId="19" xfId="3" applyFont="1" applyBorder="1"/>
    <xf numFmtId="44" fontId="0" fillId="0" borderId="19" xfId="0" applyNumberFormat="1" applyBorder="1"/>
    <xf numFmtId="0" fontId="0" fillId="0" borderId="26" xfId="0" applyBorder="1"/>
    <xf numFmtId="0" fontId="0" fillId="0" borderId="28" xfId="0" applyBorder="1"/>
    <xf numFmtId="0" fontId="0" fillId="0" borderId="3" xfId="0" applyBorder="1"/>
    <xf numFmtId="0" fontId="13" fillId="0" borderId="2" xfId="0" applyFont="1" applyFill="1" applyBorder="1"/>
    <xf numFmtId="0" fontId="15" fillId="0" borderId="19" xfId="0" applyFont="1" applyFill="1" applyBorder="1" applyAlignment="1">
      <alignment horizontal="center"/>
    </xf>
    <xf numFmtId="165" fontId="13" fillId="0" borderId="28" xfId="1" applyNumberFormat="1" applyFont="1" applyFill="1" applyBorder="1"/>
    <xf numFmtId="9" fontId="15" fillId="0" borderId="0" xfId="6" applyFont="1" applyFill="1"/>
    <xf numFmtId="0" fontId="15" fillId="0" borderId="0" xfId="0" applyFont="1" applyFill="1"/>
    <xf numFmtId="0" fontId="13" fillId="0" borderId="29" xfId="0" applyFont="1" applyBorder="1"/>
    <xf numFmtId="0" fontId="15" fillId="0" borderId="0" xfId="0" applyFont="1" applyFill="1" applyAlignment="1">
      <alignment horizontal="center"/>
    </xf>
    <xf numFmtId="165" fontId="13" fillId="0" borderId="26" xfId="1" applyNumberFormat="1" applyFont="1" applyFill="1" applyBorder="1"/>
    <xf numFmtId="0" fontId="13" fillId="0" borderId="28" xfId="0" applyFont="1" applyBorder="1" applyAlignment="1">
      <alignment horizontal="left"/>
    </xf>
    <xf numFmtId="0" fontId="15" fillId="0" borderId="19" xfId="0" applyFont="1" applyBorder="1" applyAlignment="1">
      <alignment horizontal="center"/>
    </xf>
    <xf numFmtId="165" fontId="13" fillId="0" borderId="28" xfId="1" applyNumberFormat="1" applyFont="1" applyBorder="1"/>
    <xf numFmtId="9" fontId="15" fillId="0" borderId="0" xfId="5" applyFont="1"/>
    <xf numFmtId="0" fontId="13" fillId="0" borderId="26" xfId="0" applyFont="1" applyBorder="1" applyAlignment="1">
      <alignment horizontal="left"/>
    </xf>
    <xf numFmtId="0" fontId="15" fillId="0" borderId="0" xfId="0" applyFont="1" applyBorder="1" applyAlignment="1">
      <alignment horizontal="center"/>
    </xf>
    <xf numFmtId="3" fontId="15" fillId="0" borderId="0" xfId="0" applyNumberFormat="1" applyFont="1" applyBorder="1" applyAlignment="1">
      <alignment horizontal="center"/>
    </xf>
    <xf numFmtId="165" fontId="13" fillId="0" borderId="26" xfId="1" applyNumberFormat="1" applyFont="1" applyBorder="1"/>
    <xf numFmtId="0" fontId="15" fillId="0" borderId="0" xfId="0" applyFont="1" applyAlignment="1">
      <alignment horizontal="center"/>
    </xf>
    <xf numFmtId="9" fontId="15" fillId="0" borderId="0" xfId="0" applyNumberFormat="1" applyFont="1"/>
    <xf numFmtId="0" fontId="13" fillId="0" borderId="27" xfId="0" applyFont="1" applyBorder="1" applyAlignment="1">
      <alignment horizontal="left"/>
    </xf>
    <xf numFmtId="0" fontId="15" fillId="0" borderId="20" xfId="0" applyFont="1" applyBorder="1" applyAlignment="1">
      <alignment horizontal="center"/>
    </xf>
    <xf numFmtId="165" fontId="13" fillId="0" borderId="27" xfId="1" applyNumberFormat="1" applyFont="1" applyBorder="1"/>
    <xf numFmtId="6" fontId="15" fillId="0" borderId="0" xfId="0" applyNumberFormat="1" applyFont="1" applyBorder="1"/>
    <xf numFmtId="44" fontId="13" fillId="0" borderId="26" xfId="3" applyFont="1" applyBorder="1"/>
    <xf numFmtId="44" fontId="15" fillId="0" borderId="0" xfId="4" applyFont="1"/>
    <xf numFmtId="166" fontId="15" fillId="0" borderId="0" xfId="0" applyNumberFormat="1" applyFont="1" applyBorder="1"/>
    <xf numFmtId="166" fontId="15" fillId="0" borderId="20" xfId="0" applyNumberFormat="1" applyFont="1" applyBorder="1"/>
    <xf numFmtId="44" fontId="13" fillId="0" borderId="27" xfId="3" applyFont="1" applyBorder="1"/>
    <xf numFmtId="0" fontId="16" fillId="0" borderId="4" xfId="0" applyFont="1" applyBorder="1"/>
    <xf numFmtId="0" fontId="16" fillId="0" borderId="29" xfId="0" applyFont="1" applyBorder="1"/>
    <xf numFmtId="0" fontId="16" fillId="0" borderId="2" xfId="0" applyFont="1" applyBorder="1" applyAlignment="1">
      <alignment horizontal="left"/>
    </xf>
    <xf numFmtId="0" fontId="1" fillId="0" borderId="4" xfId="0" applyFont="1" applyBorder="1"/>
    <xf numFmtId="167" fontId="0" fillId="0" borderId="28" xfId="0" applyNumberFormat="1" applyBorder="1" applyAlignment="1">
      <alignment horizontal="center"/>
    </xf>
    <xf numFmtId="167" fontId="0" fillId="0" borderId="26" xfId="0" applyNumberFormat="1" applyBorder="1"/>
    <xf numFmtId="167" fontId="0" fillId="0" borderId="27" xfId="0" applyNumberFormat="1" applyBorder="1"/>
    <xf numFmtId="167" fontId="0" fillId="0" borderId="28" xfId="0" applyNumberFormat="1" applyBorder="1" applyAlignment="1">
      <alignment horizontal="right"/>
    </xf>
    <xf numFmtId="167" fontId="0" fillId="0" borderId="26" xfId="0" applyNumberFormat="1" applyBorder="1" applyAlignment="1">
      <alignment horizontal="right"/>
    </xf>
    <xf numFmtId="167" fontId="0" fillId="0" borderId="27" xfId="0" applyNumberFormat="1" applyBorder="1" applyAlignment="1">
      <alignment horizontal="right"/>
    </xf>
    <xf numFmtId="0" fontId="0" fillId="0" borderId="28" xfId="0" applyBorder="1" applyAlignment="1">
      <alignment horizontal="center"/>
    </xf>
    <xf numFmtId="167" fontId="16" fillId="0" borderId="26" xfId="0" applyNumberFormat="1" applyFont="1" applyBorder="1" applyAlignment="1">
      <alignment horizontal="right"/>
    </xf>
    <xf numFmtId="167" fontId="16" fillId="0" borderId="27" xfId="0" applyNumberFormat="1" applyFont="1" applyBorder="1" applyAlignment="1">
      <alignment horizontal="right"/>
    </xf>
    <xf numFmtId="0" fontId="0" fillId="0" borderId="19" xfId="0" applyBorder="1" applyAlignment="1">
      <alignment horizontal="center"/>
    </xf>
    <xf numFmtId="0" fontId="0" fillId="0" borderId="0" xfId="0" applyBorder="1" applyAlignment="1">
      <alignment horizontal="center"/>
    </xf>
    <xf numFmtId="165" fontId="0" fillId="0" borderId="0" xfId="0" applyNumberFormat="1"/>
    <xf numFmtId="44" fontId="0" fillId="0" borderId="0" xfId="0" applyNumberFormat="1"/>
    <xf numFmtId="9" fontId="0" fillId="0" borderId="28" xfId="0" applyNumberFormat="1" applyBorder="1"/>
    <xf numFmtId="9" fontId="0" fillId="0" borderId="27" xfId="0" applyNumberFormat="1" applyBorder="1"/>
    <xf numFmtId="9" fontId="0" fillId="0" borderId="26" xfId="0" applyNumberFormat="1" applyBorder="1"/>
    <xf numFmtId="0" fontId="17" fillId="0" borderId="39" xfId="0" applyFont="1" applyBorder="1" applyAlignment="1">
      <alignment vertical="center" wrapText="1"/>
    </xf>
    <xf numFmtId="9" fontId="18" fillId="0" borderId="40" xfId="0" applyNumberFormat="1" applyFont="1" applyBorder="1" applyAlignment="1">
      <alignment horizontal="right" vertical="center" wrapText="1"/>
    </xf>
    <xf numFmtId="0" fontId="17" fillId="0" borderId="0" xfId="0" applyFont="1" applyAlignment="1">
      <alignment vertical="center" wrapText="1"/>
    </xf>
    <xf numFmtId="9" fontId="18" fillId="0" borderId="42" xfId="0" applyNumberFormat="1" applyFont="1" applyBorder="1" applyAlignment="1">
      <alignment horizontal="right" vertical="center" wrapText="1"/>
    </xf>
    <xf numFmtId="0" fontId="17" fillId="0" borderId="44" xfId="0" applyFont="1" applyBorder="1" applyAlignment="1">
      <alignment vertical="center" wrapText="1"/>
    </xf>
    <xf numFmtId="9" fontId="18" fillId="0" borderId="45" xfId="6" applyFont="1" applyBorder="1" applyAlignment="1">
      <alignment horizontal="right" vertical="center" wrapText="1"/>
    </xf>
    <xf numFmtId="0" fontId="1" fillId="0" borderId="3" xfId="0" applyFont="1" applyBorder="1" applyAlignment="1">
      <alignment horizontal="center" vertical="center" wrapText="1"/>
    </xf>
    <xf numFmtId="0" fontId="0" fillId="0" borderId="0" xfId="0"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1" fontId="0" fillId="0" borderId="0" xfId="0" applyNumberFormat="1" applyBorder="1" applyAlignment="1">
      <alignment horizontal="center"/>
    </xf>
    <xf numFmtId="8" fontId="0" fillId="0" borderId="0" xfId="0" applyNumberFormat="1" applyBorder="1"/>
    <xf numFmtId="165" fontId="12" fillId="0" borderId="0" xfId="0" applyNumberFormat="1" applyFont="1" applyFill="1" applyBorder="1" applyAlignment="1">
      <alignment horizontal="center"/>
    </xf>
    <xf numFmtId="44" fontId="12" fillId="0" borderId="0" xfId="0" applyNumberFormat="1" applyFont="1" applyFill="1" applyBorder="1" applyAlignment="1">
      <alignment horizontal="center"/>
    </xf>
    <xf numFmtId="0" fontId="13" fillId="0" borderId="0" xfId="0" applyFont="1" applyFill="1" applyBorder="1" applyAlignment="1">
      <alignment horizontal="left"/>
    </xf>
    <xf numFmtId="0" fontId="19" fillId="0" borderId="0" xfId="0" applyFont="1" applyBorder="1" applyAlignment="1">
      <alignment horizontal="left"/>
    </xf>
    <xf numFmtId="0" fontId="15" fillId="0" borderId="0" xfId="0" applyFont="1" applyBorder="1"/>
    <xf numFmtId="44" fontId="15" fillId="0" borderId="0" xfId="0" applyNumberFormat="1" applyFont="1" applyBorder="1"/>
    <xf numFmtId="0" fontId="1" fillId="0" borderId="0" xfId="0" applyFont="1" applyBorder="1"/>
    <xf numFmtId="9" fontId="0" fillId="0" borderId="0" xfId="0" applyNumberFormat="1" applyBorder="1"/>
    <xf numFmtId="0" fontId="16" fillId="0" borderId="0" xfId="0" applyFont="1" applyBorder="1" applyAlignment="1">
      <alignment vertical="center"/>
    </xf>
    <xf numFmtId="0" fontId="15" fillId="0" borderId="0" xfId="0" applyFont="1" applyFill="1" applyBorder="1"/>
    <xf numFmtId="9" fontId="12" fillId="0" borderId="0" xfId="6" applyFont="1" applyFill="1" applyBorder="1" applyAlignment="1">
      <alignment horizontal="center"/>
    </xf>
    <xf numFmtId="0" fontId="19" fillId="0" borderId="0" xfId="0" applyFont="1" applyFill="1" applyBorder="1" applyAlignment="1">
      <alignment horizontal="left"/>
    </xf>
    <xf numFmtId="0" fontId="1" fillId="0" borderId="26" xfId="0" applyFont="1" applyBorder="1"/>
    <xf numFmtId="0" fontId="1" fillId="0" borderId="0" xfId="0" applyFont="1" applyBorder="1" applyAlignment="1">
      <alignment horizontal="center" vertical="center" wrapText="1"/>
    </xf>
    <xf numFmtId="0" fontId="1" fillId="0" borderId="0" xfId="0" applyFont="1" applyBorder="1" applyAlignment="1">
      <alignment horizontal="left"/>
    </xf>
    <xf numFmtId="44" fontId="1" fillId="0" borderId="0" xfId="3" applyFont="1" applyBorder="1"/>
    <xf numFmtId="165" fontId="0" fillId="0" borderId="0" xfId="1" applyNumberFormat="1" applyFont="1" applyBorder="1" applyAlignment="1">
      <alignment horizontal="center"/>
    </xf>
    <xf numFmtId="165" fontId="1" fillId="0" borderId="0" xfId="1" applyNumberFormat="1" applyFont="1" applyBorder="1"/>
    <xf numFmtId="44" fontId="16" fillId="0" borderId="33" xfId="3" applyFont="1" applyBorder="1"/>
    <xf numFmtId="0" fontId="16" fillId="0" borderId="33" xfId="0" applyFont="1" applyBorder="1" applyAlignment="1">
      <alignment horizontal="center"/>
    </xf>
    <xf numFmtId="0" fontId="16" fillId="0" borderId="30" xfId="0" applyFont="1" applyBorder="1" applyAlignment="1">
      <alignment horizontal="center"/>
    </xf>
    <xf numFmtId="165" fontId="16" fillId="0" borderId="31" xfId="1" applyNumberFormat="1" applyFont="1" applyBorder="1" applyAlignment="1">
      <alignment horizontal="center"/>
    </xf>
    <xf numFmtId="44" fontId="16" fillId="0" borderId="30" xfId="3" applyFont="1" applyBorder="1"/>
    <xf numFmtId="44" fontId="16" fillId="0" borderId="31" xfId="3" applyFont="1" applyBorder="1"/>
    <xf numFmtId="0" fontId="16" fillId="0" borderId="0" xfId="0" applyFont="1"/>
    <xf numFmtId="0" fontId="1" fillId="0" borderId="3" xfId="0" applyFont="1" applyBorder="1" applyAlignment="1">
      <alignment horizontal="center" vertical="center" wrapText="1"/>
    </xf>
    <xf numFmtId="0" fontId="0" fillId="0" borderId="5" xfId="0" applyBorder="1" applyAlignment="1">
      <alignment horizontal="center"/>
    </xf>
    <xf numFmtId="0" fontId="13" fillId="2" borderId="31" xfId="0" applyFont="1" applyFill="1" applyBorder="1" applyAlignment="1">
      <alignment horizontal="center"/>
    </xf>
    <xf numFmtId="0" fontId="13" fillId="2" borderId="31" xfId="0" applyFont="1" applyFill="1" applyBorder="1" applyAlignment="1">
      <alignment horizontal="center"/>
    </xf>
    <xf numFmtId="0" fontId="13" fillId="2" borderId="46" xfId="0" applyFont="1" applyFill="1" applyBorder="1" applyAlignment="1">
      <alignment horizontal="center"/>
    </xf>
    <xf numFmtId="0" fontId="16" fillId="0" borderId="31" xfId="0" applyFont="1" applyBorder="1" applyAlignment="1">
      <alignment horizontal="center"/>
    </xf>
    <xf numFmtId="0" fontId="0" fillId="0" borderId="34" xfId="0" applyBorder="1" applyAlignment="1">
      <alignment horizontal="center"/>
    </xf>
    <xf numFmtId="10" fontId="0" fillId="0" borderId="2" xfId="0" applyNumberFormat="1" applyBorder="1"/>
    <xf numFmtId="10" fontId="0" fillId="0" borderId="4" xfId="0" applyNumberFormat="1" applyBorder="1"/>
    <xf numFmtId="10" fontId="16" fillId="0" borderId="46" xfId="0" applyNumberFormat="1" applyFont="1" applyBorder="1"/>
    <xf numFmtId="0" fontId="16" fillId="0" borderId="0" xfId="0" applyFont="1" applyBorder="1" applyAlignment="1">
      <alignment horizontal="center"/>
    </xf>
    <xf numFmtId="10" fontId="16" fillId="0" borderId="0" xfId="0" applyNumberFormat="1" applyFont="1" applyBorder="1"/>
    <xf numFmtId="0" fontId="0" fillId="0" borderId="19" xfId="0" applyBorder="1" applyAlignment="1">
      <alignment horizontal="center"/>
    </xf>
    <xf numFmtId="0" fontId="13" fillId="2" borderId="31" xfId="0" applyFont="1" applyFill="1" applyBorder="1" applyAlignment="1">
      <alignment horizontal="center"/>
    </xf>
    <xf numFmtId="0" fontId="13" fillId="2" borderId="5" xfId="0" applyFont="1" applyFill="1" applyBorder="1" applyAlignment="1">
      <alignment horizontal="center"/>
    </xf>
    <xf numFmtId="0" fontId="12" fillId="2" borderId="28" xfId="0" applyFont="1" applyFill="1"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13" fillId="2" borderId="33" xfId="0" applyFont="1" applyFill="1" applyBorder="1" applyAlignment="1">
      <alignment horizontal="center"/>
    </xf>
    <xf numFmtId="44" fontId="0" fillId="0" borderId="0" xfId="3" applyFont="1" applyFill="1" applyBorder="1"/>
    <xf numFmtId="0" fontId="0" fillId="0" borderId="2" xfId="0" applyBorder="1" applyAlignment="1">
      <alignment horizontal="center"/>
    </xf>
    <xf numFmtId="0" fontId="0" fillId="0" borderId="4" xfId="0" applyBorder="1" applyAlignment="1">
      <alignment horizontal="center"/>
    </xf>
    <xf numFmtId="0" fontId="0" fillId="0" borderId="29" xfId="0" applyBorder="1" applyAlignment="1">
      <alignment horizontal="center"/>
    </xf>
    <xf numFmtId="44" fontId="0" fillId="0" borderId="0" xfId="3" applyFont="1"/>
    <xf numFmtId="0" fontId="16" fillId="0" borderId="0" xfId="0" applyFont="1" applyAlignment="1">
      <alignment horizontal="center"/>
    </xf>
    <xf numFmtId="165" fontId="16" fillId="0" borderId="0" xfId="0" applyNumberFormat="1" applyFont="1"/>
    <xf numFmtId="9" fontId="16" fillId="0" borderId="0" xfId="6" applyFont="1"/>
    <xf numFmtId="0" fontId="16" fillId="0" borderId="20" xfId="0" applyFont="1" applyBorder="1" applyAlignment="1">
      <alignment horizontal="center"/>
    </xf>
    <xf numFmtId="44" fontId="16" fillId="0" borderId="0" xfId="3" applyFont="1" applyBorder="1"/>
    <xf numFmtId="9" fontId="16" fillId="0" borderId="0" xfId="5" applyFont="1"/>
    <xf numFmtId="0" fontId="16" fillId="0" borderId="5" xfId="0" applyFont="1" applyBorder="1" applyAlignment="1"/>
    <xf numFmtId="0" fontId="16" fillId="0" borderId="3" xfId="0" applyFont="1" applyBorder="1"/>
    <xf numFmtId="0" fontId="16" fillId="0" borderId="0" xfId="0" applyFont="1" applyBorder="1"/>
    <xf numFmtId="165" fontId="16" fillId="0" borderId="0" xfId="0" applyNumberFormat="1" applyFont="1" applyBorder="1"/>
    <xf numFmtId="165" fontId="16" fillId="0" borderId="0" xfId="1" applyNumberFormat="1" applyFont="1" applyBorder="1"/>
    <xf numFmtId="0" fontId="1" fillId="0" borderId="3" xfId="0" applyFont="1" applyFill="1" applyBorder="1" applyAlignment="1">
      <alignment horizontal="left"/>
    </xf>
    <xf numFmtId="0" fontId="16" fillId="0" borderId="34" xfId="0" applyFont="1" applyBorder="1"/>
    <xf numFmtId="44" fontId="16" fillId="0" borderId="20" xfId="0" applyNumberFormat="1" applyFont="1" applyBorder="1"/>
    <xf numFmtId="0" fontId="1" fillId="0" borderId="3" xfId="0" applyFont="1" applyBorder="1" applyAlignment="1">
      <alignment horizontal="left"/>
    </xf>
    <xf numFmtId="44" fontId="16" fillId="0" borderId="0" xfId="3" applyFont="1"/>
    <xf numFmtId="9" fontId="16" fillId="0" borderId="0" xfId="6" applyFont="1" applyAlignment="1">
      <alignment horizontal="center"/>
    </xf>
    <xf numFmtId="0" fontId="16" fillId="0" borderId="26" xfId="0" applyFont="1" applyBorder="1"/>
    <xf numFmtId="165" fontId="0" fillId="0" borderId="26" xfId="1" applyNumberFormat="1" applyFont="1" applyBorder="1"/>
    <xf numFmtId="165" fontId="16" fillId="0" borderId="26" xfId="1" applyNumberFormat="1" applyFont="1" applyBorder="1"/>
    <xf numFmtId="44" fontId="0" fillId="0" borderId="26" xfId="0" applyNumberFormat="1" applyBorder="1"/>
    <xf numFmtId="0" fontId="16" fillId="0" borderId="20" xfId="0" applyFont="1" applyBorder="1"/>
    <xf numFmtId="44" fontId="16" fillId="0" borderId="27" xfId="0" applyNumberFormat="1" applyFont="1" applyBorder="1"/>
    <xf numFmtId="167" fontId="0" fillId="0" borderId="0" xfId="0" applyNumberFormat="1"/>
    <xf numFmtId="3" fontId="0" fillId="0" borderId="34" xfId="0" applyNumberFormat="1" applyBorder="1" applyAlignment="1">
      <alignment horizontal="center"/>
    </xf>
    <xf numFmtId="3" fontId="0" fillId="0" borderId="19" xfId="0" applyNumberFormat="1" applyBorder="1" applyAlignment="1">
      <alignment horizontal="center"/>
    </xf>
    <xf numFmtId="3" fontId="0" fillId="0" borderId="26" xfId="0" applyNumberFormat="1" applyBorder="1" applyAlignment="1">
      <alignment horizontal="center"/>
    </xf>
    <xf numFmtId="167" fontId="0" fillId="0" borderId="0" xfId="0" applyNumberFormat="1" applyBorder="1"/>
    <xf numFmtId="167" fontId="0" fillId="0" borderId="0" xfId="0" applyNumberFormat="1" applyFill="1" applyBorder="1"/>
    <xf numFmtId="167" fontId="0" fillId="0" borderId="20" xfId="0" applyNumberFormat="1" applyBorder="1"/>
    <xf numFmtId="0" fontId="1" fillId="0" borderId="0" xfId="0" applyFont="1" applyBorder="1" applyAlignment="1">
      <alignment horizontal="center"/>
    </xf>
    <xf numFmtId="0" fontId="13" fillId="2" borderId="33"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2" fillId="2" borderId="28" xfId="0" applyFont="1" applyFill="1" applyBorder="1" applyAlignment="1">
      <alignment horizontal="center"/>
    </xf>
    <xf numFmtId="0" fontId="1" fillId="0" borderId="3" xfId="0" applyFont="1" applyBorder="1" applyAlignment="1">
      <alignment horizontal="center" vertical="center" wrapText="1"/>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14" fillId="2" borderId="0" xfId="0" applyFont="1" applyFill="1" applyBorder="1" applyAlignment="1">
      <alignment horizontal="center" vertical="center" wrapText="1"/>
    </xf>
    <xf numFmtId="0" fontId="12" fillId="2" borderId="19" xfId="0" applyFont="1" applyFill="1" applyBorder="1" applyAlignment="1">
      <alignment horizontal="center"/>
    </xf>
    <xf numFmtId="0" fontId="12" fillId="2" borderId="30" xfId="0" applyFont="1" applyFill="1" applyBorder="1" applyAlignment="1">
      <alignment horizontal="center"/>
    </xf>
    <xf numFmtId="165" fontId="16" fillId="0" borderId="0" xfId="1" applyNumberFormat="1" applyFont="1" applyBorder="1" applyAlignment="1">
      <alignment horizontal="center"/>
    </xf>
    <xf numFmtId="6" fontId="16" fillId="0" borderId="20" xfId="0" applyNumberFormat="1" applyFont="1" applyBorder="1" applyAlignment="1">
      <alignment horizontal="center"/>
    </xf>
    <xf numFmtId="165" fontId="16" fillId="0" borderId="33" xfId="1" applyNumberFormat="1" applyFont="1" applyBorder="1" applyAlignment="1">
      <alignment horizontal="center"/>
    </xf>
    <xf numFmtId="0" fontId="16" fillId="0" borderId="0" xfId="0" applyFont="1" applyBorder="1" applyAlignment="1">
      <alignment horizontal="right"/>
    </xf>
    <xf numFmtId="167" fontId="16" fillId="0" borderId="0" xfId="0" applyNumberFormat="1" applyFont="1"/>
    <xf numFmtId="44" fontId="16" fillId="0" borderId="0" xfId="3"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167" fontId="0" fillId="0" borderId="28" xfId="0" applyNumberFormat="1" applyFill="1" applyBorder="1" applyAlignment="1">
      <alignment horizontal="center"/>
    </xf>
    <xf numFmtId="167" fontId="0" fillId="0" borderId="26" xfId="0" applyNumberFormat="1" applyFill="1" applyBorder="1"/>
    <xf numFmtId="167" fontId="0" fillId="0" borderId="19" xfId="0" applyNumberFormat="1" applyBorder="1"/>
    <xf numFmtId="167" fontId="0" fillId="0" borderId="0" xfId="3" applyNumberFormat="1" applyFont="1" applyBorder="1"/>
    <xf numFmtId="0" fontId="0" fillId="0" borderId="0" xfId="0" applyBorder="1" applyAlignment="1">
      <alignment horizontal="center"/>
    </xf>
    <xf numFmtId="0" fontId="13" fillId="2" borderId="33"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2" fillId="2" borderId="31" xfId="0" applyFont="1" applyFill="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xf>
    <xf numFmtId="0" fontId="0" fillId="0" borderId="0" xfId="0" applyBorder="1" applyAlignment="1">
      <alignment horizontal="center"/>
    </xf>
    <xf numFmtId="0" fontId="13" fillId="0" borderId="4" xfId="0" applyFont="1" applyBorder="1" applyAlignment="1">
      <alignment horizontal="center" vertical="center" wrapText="1"/>
    </xf>
    <xf numFmtId="0" fontId="19" fillId="0" borderId="20" xfId="0" applyFont="1" applyBorder="1" applyAlignment="1">
      <alignment horizontal="center"/>
    </xf>
    <xf numFmtId="6" fontId="15" fillId="0" borderId="0" xfId="0" applyNumberFormat="1" applyFont="1"/>
    <xf numFmtId="6" fontId="19" fillId="0" borderId="0" xfId="0" applyNumberFormat="1" applyFont="1"/>
    <xf numFmtId="165" fontId="0" fillId="0" borderId="0" xfId="1" applyNumberFormat="1" applyFont="1"/>
    <xf numFmtId="0" fontId="1" fillId="0" borderId="33" xfId="0" applyFont="1" applyBorder="1" applyAlignment="1">
      <alignment horizontal="center" vertical="center" wrapText="1"/>
    </xf>
    <xf numFmtId="0" fontId="12" fillId="0" borderId="5" xfId="0" applyFont="1" applyFill="1" applyBorder="1" applyAlignment="1">
      <alignment horizontal="center"/>
    </xf>
    <xf numFmtId="0" fontId="1" fillId="0" borderId="31" xfId="0" applyFont="1" applyBorder="1"/>
    <xf numFmtId="0" fontId="13" fillId="0" borderId="33" xfId="0" applyFont="1" applyFill="1" applyBorder="1" applyAlignment="1">
      <alignment horizontal="center"/>
    </xf>
    <xf numFmtId="0" fontId="13" fillId="0" borderId="0" xfId="0" applyFont="1" applyFill="1" applyBorder="1" applyAlignment="1">
      <alignment horizontal="center"/>
    </xf>
    <xf numFmtId="6" fontId="16" fillId="0" borderId="0" xfId="0" applyNumberFormat="1" applyFont="1" applyBorder="1" applyAlignment="1">
      <alignment horizontal="center"/>
    </xf>
    <xf numFmtId="0" fontId="13" fillId="0" borderId="5" xfId="0" applyFont="1" applyFill="1" applyBorder="1" applyAlignment="1">
      <alignment horizontal="center"/>
    </xf>
    <xf numFmtId="0" fontId="15" fillId="0" borderId="20" xfId="0" applyFont="1" applyFill="1" applyBorder="1" applyAlignment="1">
      <alignment horizontal="center"/>
    </xf>
    <xf numFmtId="165" fontId="13" fillId="0" borderId="27" xfId="1" applyNumberFormat="1" applyFont="1" applyFill="1" applyBorder="1"/>
    <xf numFmtId="0" fontId="13" fillId="0" borderId="0" xfId="0" applyFont="1" applyBorder="1" applyAlignment="1">
      <alignment horizontal="center" vertical="center" wrapText="1"/>
    </xf>
    <xf numFmtId="0" fontId="13" fillId="0" borderId="0" xfId="0" applyFont="1" applyBorder="1"/>
    <xf numFmtId="0" fontId="13" fillId="2" borderId="2" xfId="0" applyFont="1" applyFill="1" applyBorder="1" applyAlignment="1">
      <alignment horizontal="center"/>
    </xf>
    <xf numFmtId="0" fontId="0" fillId="0" borderId="0" xfId="0" applyAlignment="1">
      <alignment horizontal="right"/>
    </xf>
    <xf numFmtId="9" fontId="0" fillId="0" borderId="0" xfId="0" applyNumberFormat="1" applyAlignment="1">
      <alignment horizontal="right"/>
    </xf>
    <xf numFmtId="8" fontId="0" fillId="0" borderId="0" xfId="3" applyNumberFormat="1" applyFont="1" applyBorder="1"/>
    <xf numFmtId="0" fontId="0" fillId="0" borderId="0" xfId="0" applyBorder="1" applyAlignment="1">
      <alignment horizontal="center"/>
    </xf>
    <xf numFmtId="10" fontId="0" fillId="0" borderId="0" xfId="0" applyNumberFormat="1" applyBorder="1"/>
    <xf numFmtId="0" fontId="0" fillId="0" borderId="19" xfId="0" applyBorder="1"/>
    <xf numFmtId="0" fontId="0" fillId="0" borderId="20" xfId="0" applyBorder="1"/>
    <xf numFmtId="0" fontId="0" fillId="0" borderId="34" xfId="0" applyBorder="1"/>
    <xf numFmtId="6" fontId="0" fillId="0" borderId="0" xfId="0" applyNumberFormat="1"/>
    <xf numFmtId="0" fontId="1" fillId="0" borderId="0" xfId="0" applyFont="1" applyBorder="1" applyAlignment="1">
      <alignment horizontal="center"/>
    </xf>
    <xf numFmtId="0" fontId="16" fillId="0" borderId="0" xfId="0" applyFont="1" applyBorder="1" applyAlignment="1">
      <alignment horizontal="center" vertical="center"/>
    </xf>
    <xf numFmtId="0" fontId="13" fillId="2" borderId="33"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2" fillId="2" borderId="33" xfId="0" applyFont="1" applyFill="1" applyBorder="1" applyAlignment="1">
      <alignment horizontal="center"/>
    </xf>
    <xf numFmtId="0" fontId="12" fillId="2" borderId="31" xfId="0" applyFont="1" applyFill="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9" xfId="0" applyFont="1" applyBorder="1" applyAlignment="1">
      <alignment horizontal="center" vertical="center" wrapText="1"/>
    </xf>
    <xf numFmtId="0" fontId="12" fillId="2" borderId="5" xfId="0" applyFont="1" applyFill="1" applyBorder="1" applyAlignment="1">
      <alignment horizontal="center"/>
    </xf>
    <xf numFmtId="0" fontId="12" fillId="2" borderId="28" xfId="0" applyFont="1" applyFill="1" applyBorder="1" applyAlignment="1">
      <alignment horizontal="center"/>
    </xf>
    <xf numFmtId="0" fontId="9" fillId="2" borderId="3" xfId="0" applyFont="1" applyFill="1" applyBorder="1" applyAlignment="1">
      <alignment horizontal="center"/>
    </xf>
    <xf numFmtId="0" fontId="9" fillId="2" borderId="0" xfId="0" applyFont="1" applyFill="1" applyBorder="1" applyAlignment="1">
      <alignment horizontal="center"/>
    </xf>
    <xf numFmtId="0" fontId="17" fillId="0" borderId="3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5" xfId="0" applyFont="1" applyBorder="1" applyAlignment="1">
      <alignment horizontal="center"/>
    </xf>
    <xf numFmtId="0" fontId="1" fillId="0" borderId="28" xfId="0" applyFont="1"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1" fillId="0" borderId="5" xfId="0" applyFont="1" applyBorder="1" applyAlignment="1">
      <alignment horizontal="center" vertical="center" wrapText="1"/>
    </xf>
    <xf numFmtId="0" fontId="1" fillId="0" borderId="19" xfId="0" applyFont="1" applyBorder="1" applyAlignment="1">
      <alignment horizontal="center"/>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1" fillId="2" borderId="33" xfId="0" applyFont="1" applyFill="1" applyBorder="1" applyAlignment="1">
      <alignment horizontal="center"/>
    </xf>
    <xf numFmtId="0" fontId="11" fillId="2" borderId="30" xfId="0" applyFont="1" applyFill="1" applyBorder="1" applyAlignment="1">
      <alignment horizontal="center"/>
    </xf>
    <xf numFmtId="0" fontId="11" fillId="2" borderId="31" xfId="0" applyFont="1" applyFill="1" applyBorder="1" applyAlignment="1">
      <alignment horizontal="center"/>
    </xf>
    <xf numFmtId="0" fontId="12" fillId="2" borderId="30" xfId="0" applyFont="1" applyFill="1" applyBorder="1" applyAlignment="1">
      <alignment horizontal="center"/>
    </xf>
    <xf numFmtId="0" fontId="12" fillId="2" borderId="34" xfId="0" applyFont="1" applyFill="1" applyBorder="1" applyAlignment="1">
      <alignment horizontal="center"/>
    </xf>
    <xf numFmtId="0" fontId="12" fillId="2" borderId="27" xfId="0" applyFont="1" applyFill="1" applyBorder="1" applyAlignment="1">
      <alignment horizont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9" xfId="0" applyFont="1" applyBorder="1" applyAlignment="1">
      <alignment horizontal="center" vertical="center" wrapText="1"/>
    </xf>
    <xf numFmtId="0" fontId="13" fillId="2" borderId="0" xfId="0" applyFont="1" applyFill="1" applyBorder="1" applyAlignment="1">
      <alignment horizontal="right"/>
    </xf>
    <xf numFmtId="0" fontId="16" fillId="0" borderId="0" xfId="0" applyFont="1" applyAlignment="1">
      <alignment horizontal="center"/>
    </xf>
    <xf numFmtId="0" fontId="16" fillId="0" borderId="19" xfId="0" applyFont="1" applyBorder="1" applyAlignment="1">
      <alignment horizontal="center"/>
    </xf>
    <xf numFmtId="0" fontId="16" fillId="0" borderId="28" xfId="0" applyFont="1" applyBorder="1" applyAlignment="1">
      <alignment horizontal="center"/>
    </xf>
    <xf numFmtId="0" fontId="1" fillId="0" borderId="2"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35" xfId="0" applyFont="1" applyBorder="1" applyAlignment="1">
      <alignment horizontal="center"/>
    </xf>
    <xf numFmtId="0" fontId="1" fillId="0" borderId="5"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36" xfId="0" applyFont="1" applyBorder="1" applyAlignment="1">
      <alignment horizontal="center"/>
    </xf>
    <xf numFmtId="0" fontId="1" fillId="0" borderId="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7" xfId="0" applyFont="1" applyBorder="1" applyAlignment="1">
      <alignment horizontal="center" vertical="center" wrapText="1"/>
    </xf>
  </cellXfs>
  <cellStyles count="7">
    <cellStyle name="Coma" xfId="1" builtinId="3"/>
    <cellStyle name="Millares 2" xfId="2" xr:uid="{00000000-0005-0000-0000-000001000000}"/>
    <cellStyle name="Moneda" xfId="3" builtinId="4"/>
    <cellStyle name="Moneda 2" xfId="4" xr:uid="{00000000-0005-0000-0000-000003000000}"/>
    <cellStyle name="Normal" xfId="0" builtinId="0"/>
    <cellStyle name="Percentatge" xfId="6" builtinId="5"/>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Evolució nombre d'usuaris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gràfiques!$A$3</c:f>
              <c:strCache>
                <c:ptCount val="1"/>
                <c:pt idx="0">
                  <c:v>2022</c:v>
                </c:pt>
              </c:strCache>
            </c:strRef>
          </c:tx>
          <c:spPr>
            <a:solidFill>
              <a:schemeClr val="accent1"/>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gràfiques!$B$3:$M$3</c:f>
              <c:numCache>
                <c:formatCode>_-* #,##0\ _€_-;\-* #,##0\ _€_-;_-* "-"??\ _€_-;_-@_-</c:formatCode>
                <c:ptCount val="12"/>
                <c:pt idx="0">
                  <c:v>733</c:v>
                </c:pt>
                <c:pt idx="1">
                  <c:v>907</c:v>
                </c:pt>
                <c:pt idx="2">
                  <c:v>651</c:v>
                </c:pt>
                <c:pt idx="3">
                  <c:v>2236</c:v>
                </c:pt>
                <c:pt idx="4">
                  <c:v>978</c:v>
                </c:pt>
                <c:pt idx="5">
                  <c:v>726</c:v>
                </c:pt>
                <c:pt idx="6">
                  <c:v>848</c:v>
                </c:pt>
                <c:pt idx="7">
                  <c:v>1307</c:v>
                </c:pt>
                <c:pt idx="8">
                  <c:v>1256</c:v>
                </c:pt>
                <c:pt idx="9">
                  <c:v>1898</c:v>
                </c:pt>
                <c:pt idx="10">
                  <c:v>0</c:v>
                </c:pt>
                <c:pt idx="11">
                  <c:v>0</c:v>
                </c:pt>
              </c:numCache>
            </c:numRef>
          </c:val>
          <c:extLst>
            <c:ext xmlns:c16="http://schemas.microsoft.com/office/drawing/2014/chart" uri="{C3380CC4-5D6E-409C-BE32-E72D297353CC}">
              <c16:uniqueId val="{00000000-89C9-4F35-8A4F-AFEE56B257D6}"/>
            </c:ext>
          </c:extLst>
        </c:ser>
        <c:ser>
          <c:idx val="1"/>
          <c:order val="1"/>
          <c:tx>
            <c:strRef>
              <c:f>gràfiques!$A$4</c:f>
              <c:strCache>
                <c:ptCount val="1"/>
                <c:pt idx="0">
                  <c:v>2021</c:v>
                </c:pt>
              </c:strCache>
            </c:strRef>
          </c:tx>
          <c:spPr>
            <a:solidFill>
              <a:schemeClr val="accent2"/>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gràfiques!$B$4:$M$4</c:f>
              <c:numCache>
                <c:formatCode>_-* #,##0\ _€_-;\-* #,##0\ _€_-;_-* "-"??\ _€_-;_-@_-</c:formatCode>
                <c:ptCount val="12"/>
                <c:pt idx="0">
                  <c:v>123</c:v>
                </c:pt>
                <c:pt idx="1">
                  <c:v>170</c:v>
                </c:pt>
                <c:pt idx="2">
                  <c:v>359</c:v>
                </c:pt>
                <c:pt idx="3">
                  <c:v>707</c:v>
                </c:pt>
                <c:pt idx="4">
                  <c:v>895</c:v>
                </c:pt>
                <c:pt idx="5">
                  <c:v>510</c:v>
                </c:pt>
                <c:pt idx="6">
                  <c:v>798</c:v>
                </c:pt>
                <c:pt idx="7">
                  <c:v>1896</c:v>
                </c:pt>
                <c:pt idx="8">
                  <c:v>1291</c:v>
                </c:pt>
                <c:pt idx="9">
                  <c:v>1323</c:v>
                </c:pt>
                <c:pt idx="10">
                  <c:v>840</c:v>
                </c:pt>
                <c:pt idx="11">
                  <c:v>593</c:v>
                </c:pt>
              </c:numCache>
            </c:numRef>
          </c:val>
          <c:extLst>
            <c:ext xmlns:c16="http://schemas.microsoft.com/office/drawing/2014/chart" uri="{C3380CC4-5D6E-409C-BE32-E72D297353CC}">
              <c16:uniqueId val="{00000001-89C9-4F35-8A4F-AFEE56B257D6}"/>
            </c:ext>
          </c:extLst>
        </c:ser>
        <c:ser>
          <c:idx val="2"/>
          <c:order val="2"/>
          <c:tx>
            <c:strRef>
              <c:f>gràfiques!$A$5</c:f>
              <c:strCache>
                <c:ptCount val="1"/>
                <c:pt idx="0">
                  <c:v>2020</c:v>
                </c:pt>
              </c:strCache>
            </c:strRef>
          </c:tx>
          <c:spPr>
            <a:solidFill>
              <a:schemeClr val="accent3"/>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gràfiques!$B$5:$M$5</c:f>
              <c:numCache>
                <c:formatCode>_-* #,##0\ _€_-;\-* #,##0\ _€_-;_-* "-"??\ _€_-;_-@_-</c:formatCode>
                <c:ptCount val="12"/>
                <c:pt idx="0">
                  <c:v>1036</c:v>
                </c:pt>
                <c:pt idx="1">
                  <c:v>1375</c:v>
                </c:pt>
                <c:pt idx="2">
                  <c:v>403</c:v>
                </c:pt>
                <c:pt idx="3">
                  <c:v>0</c:v>
                </c:pt>
                <c:pt idx="4">
                  <c:v>0</c:v>
                </c:pt>
                <c:pt idx="5">
                  <c:v>126</c:v>
                </c:pt>
                <c:pt idx="6">
                  <c:v>742</c:v>
                </c:pt>
                <c:pt idx="7">
                  <c:v>1589</c:v>
                </c:pt>
                <c:pt idx="8">
                  <c:v>1379</c:v>
                </c:pt>
                <c:pt idx="9">
                  <c:v>1001</c:v>
                </c:pt>
                <c:pt idx="10">
                  <c:v>206</c:v>
                </c:pt>
                <c:pt idx="11">
                  <c:v>267</c:v>
                </c:pt>
              </c:numCache>
            </c:numRef>
          </c:val>
          <c:extLst>
            <c:ext xmlns:c16="http://schemas.microsoft.com/office/drawing/2014/chart" uri="{C3380CC4-5D6E-409C-BE32-E72D297353CC}">
              <c16:uniqueId val="{00000002-89C9-4F35-8A4F-AFEE56B257D6}"/>
            </c:ext>
          </c:extLst>
        </c:ser>
        <c:ser>
          <c:idx val="3"/>
          <c:order val="3"/>
          <c:tx>
            <c:strRef>
              <c:f>gràfiques!$A$6</c:f>
              <c:strCache>
                <c:ptCount val="1"/>
                <c:pt idx="0">
                  <c:v>2019</c:v>
                </c:pt>
              </c:strCache>
            </c:strRef>
          </c:tx>
          <c:spPr>
            <a:solidFill>
              <a:schemeClr val="accent4"/>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gràfiques!$B$6:$M$6</c:f>
              <c:numCache>
                <c:formatCode>_-* #,##0\ _€_-;\-* #,##0\ _€_-;_-* "-"??\ _€_-;_-@_-</c:formatCode>
                <c:ptCount val="12"/>
                <c:pt idx="0">
                  <c:v>402</c:v>
                </c:pt>
                <c:pt idx="1">
                  <c:v>886</c:v>
                </c:pt>
                <c:pt idx="2">
                  <c:v>1086</c:v>
                </c:pt>
                <c:pt idx="3">
                  <c:v>2438</c:v>
                </c:pt>
                <c:pt idx="4">
                  <c:v>1083</c:v>
                </c:pt>
                <c:pt idx="5">
                  <c:v>1030</c:v>
                </c:pt>
                <c:pt idx="6">
                  <c:v>873</c:v>
                </c:pt>
                <c:pt idx="7">
                  <c:v>1326</c:v>
                </c:pt>
                <c:pt idx="8">
                  <c:v>1613</c:v>
                </c:pt>
                <c:pt idx="9">
                  <c:v>1991</c:v>
                </c:pt>
                <c:pt idx="10">
                  <c:v>1953</c:v>
                </c:pt>
                <c:pt idx="11">
                  <c:v>1256</c:v>
                </c:pt>
              </c:numCache>
            </c:numRef>
          </c:val>
          <c:extLst>
            <c:ext xmlns:c16="http://schemas.microsoft.com/office/drawing/2014/chart" uri="{C3380CC4-5D6E-409C-BE32-E72D297353CC}">
              <c16:uniqueId val="{00000003-89C9-4F35-8A4F-AFEE56B257D6}"/>
            </c:ext>
          </c:extLst>
        </c:ser>
        <c:ser>
          <c:idx val="4"/>
          <c:order val="4"/>
          <c:tx>
            <c:strRef>
              <c:f>gràfiques!$A$7</c:f>
              <c:strCache>
                <c:ptCount val="1"/>
                <c:pt idx="0">
                  <c:v>2018</c:v>
                </c:pt>
              </c:strCache>
            </c:strRef>
          </c:tx>
          <c:spPr>
            <a:solidFill>
              <a:schemeClr val="accent5"/>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gràfiques!$B$7:$M$7</c:f>
              <c:numCache>
                <c:formatCode>_-* #,##0\ _€_-;\-* #,##0\ _€_-;_-* "-"??\ _€_-;_-@_-</c:formatCode>
                <c:ptCount val="12"/>
                <c:pt idx="0">
                  <c:v>327</c:v>
                </c:pt>
                <c:pt idx="1">
                  <c:v>146</c:v>
                </c:pt>
                <c:pt idx="2">
                  <c:v>259</c:v>
                </c:pt>
                <c:pt idx="3">
                  <c:v>325</c:v>
                </c:pt>
                <c:pt idx="4">
                  <c:v>603</c:v>
                </c:pt>
                <c:pt idx="5">
                  <c:v>182</c:v>
                </c:pt>
                <c:pt idx="6">
                  <c:v>298</c:v>
                </c:pt>
                <c:pt idx="7">
                  <c:v>361</c:v>
                </c:pt>
                <c:pt idx="8">
                  <c:v>466</c:v>
                </c:pt>
                <c:pt idx="9">
                  <c:v>553</c:v>
                </c:pt>
                <c:pt idx="10">
                  <c:v>323</c:v>
                </c:pt>
                <c:pt idx="11">
                  <c:v>264</c:v>
                </c:pt>
              </c:numCache>
            </c:numRef>
          </c:val>
          <c:extLst>
            <c:ext xmlns:c16="http://schemas.microsoft.com/office/drawing/2014/chart" uri="{C3380CC4-5D6E-409C-BE32-E72D297353CC}">
              <c16:uniqueId val="{00000004-89C9-4F35-8A4F-AFEE56B257D6}"/>
            </c:ext>
          </c:extLst>
        </c:ser>
        <c:dLbls>
          <c:showLegendKey val="0"/>
          <c:showVal val="0"/>
          <c:showCatName val="0"/>
          <c:showSerName val="0"/>
          <c:showPercent val="0"/>
          <c:showBubbleSize val="0"/>
        </c:dLbls>
        <c:gapWidth val="219"/>
        <c:overlap val="-27"/>
        <c:axId val="402841992"/>
        <c:axId val="402842320"/>
      </c:barChart>
      <c:catAx>
        <c:axId val="402841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02842320"/>
        <c:crosses val="autoZero"/>
        <c:auto val="1"/>
        <c:lblAlgn val="ctr"/>
        <c:lblOffset val="100"/>
        <c:noMultiLvlLbl val="0"/>
      </c:catAx>
      <c:valAx>
        <c:axId val="402842320"/>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02841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Evolució</a:t>
            </a:r>
            <a:r>
              <a:rPr lang="ca-ES" baseline="0"/>
              <a:t> d'ingressos</a:t>
            </a:r>
            <a:endParaRPr lang="ca-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gràfiques!$A$11</c:f>
              <c:strCache>
                <c:ptCount val="1"/>
                <c:pt idx="0">
                  <c:v>2022</c:v>
                </c:pt>
              </c:strCache>
            </c:strRef>
          </c:tx>
          <c:spPr>
            <a:solidFill>
              <a:schemeClr val="accent1"/>
            </a:solidFill>
            <a:ln>
              <a:noFill/>
            </a:ln>
            <a:effectLst/>
          </c:spPr>
          <c:invertIfNegative val="0"/>
          <c:cat>
            <c:strRef>
              <c:f>gràfiques!$B$9:$M$10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gràfiques!$B$11:$M$11</c:f>
              <c:numCache>
                <c:formatCode>_("€"* #,##0.00_);_("€"* \(#,##0.00\);_("€"* "-"??_);_(@_)</c:formatCode>
                <c:ptCount val="12"/>
                <c:pt idx="0">
                  <c:v>2515.91</c:v>
                </c:pt>
                <c:pt idx="1">
                  <c:v>2829.4599999999996</c:v>
                </c:pt>
                <c:pt idx="2">
                  <c:v>2786.0099999999998</c:v>
                </c:pt>
                <c:pt idx="3">
                  <c:v>8729.7099999999991</c:v>
                </c:pt>
                <c:pt idx="4">
                  <c:v>3847.8100000000004</c:v>
                </c:pt>
                <c:pt idx="5">
                  <c:v>2449.6600000000003</c:v>
                </c:pt>
                <c:pt idx="6">
                  <c:v>3245.58</c:v>
                </c:pt>
                <c:pt idx="7">
                  <c:v>5172.8600000000006</c:v>
                </c:pt>
                <c:pt idx="8">
                  <c:v>5439.1500000000005</c:v>
                </c:pt>
                <c:pt idx="9">
                  <c:v>6455.1799999999994</c:v>
                </c:pt>
                <c:pt idx="10">
                  <c:v>0</c:v>
                </c:pt>
                <c:pt idx="11">
                  <c:v>0</c:v>
                </c:pt>
              </c:numCache>
            </c:numRef>
          </c:val>
          <c:extLst>
            <c:ext xmlns:c16="http://schemas.microsoft.com/office/drawing/2014/chart" uri="{C3380CC4-5D6E-409C-BE32-E72D297353CC}">
              <c16:uniqueId val="{00000000-9430-4727-A477-9A5A9219AEDF}"/>
            </c:ext>
          </c:extLst>
        </c:ser>
        <c:ser>
          <c:idx val="1"/>
          <c:order val="1"/>
          <c:tx>
            <c:strRef>
              <c:f>gràfiques!$A$12</c:f>
              <c:strCache>
                <c:ptCount val="1"/>
                <c:pt idx="0">
                  <c:v>2021</c:v>
                </c:pt>
              </c:strCache>
            </c:strRef>
          </c:tx>
          <c:spPr>
            <a:solidFill>
              <a:schemeClr val="accent2"/>
            </a:solidFill>
            <a:ln>
              <a:noFill/>
            </a:ln>
            <a:effectLst/>
          </c:spPr>
          <c:invertIfNegative val="0"/>
          <c:cat>
            <c:strRef>
              <c:f>gràfiques!$B$9:$M$10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gràfiques!$B$12:$M$12</c:f>
              <c:numCache>
                <c:formatCode>_("€"* #,##0.00_);_("€"* \(#,##0.00\);_("€"* "-"??_);_(@_)</c:formatCode>
                <c:ptCount val="12"/>
                <c:pt idx="0">
                  <c:v>320</c:v>
                </c:pt>
                <c:pt idx="1">
                  <c:v>609.25</c:v>
                </c:pt>
                <c:pt idx="2">
                  <c:v>1452.5</c:v>
                </c:pt>
                <c:pt idx="3">
                  <c:v>2169.1299999999997</c:v>
                </c:pt>
                <c:pt idx="4">
                  <c:v>3125.5099999999998</c:v>
                </c:pt>
                <c:pt idx="5">
                  <c:v>1689.8900000000003</c:v>
                </c:pt>
                <c:pt idx="6">
                  <c:v>2934.48</c:v>
                </c:pt>
                <c:pt idx="7">
                  <c:v>6853.63</c:v>
                </c:pt>
                <c:pt idx="8">
                  <c:v>4521.6100000000006</c:v>
                </c:pt>
                <c:pt idx="9">
                  <c:v>4619.17</c:v>
                </c:pt>
                <c:pt idx="10">
                  <c:v>3542.06</c:v>
                </c:pt>
                <c:pt idx="11">
                  <c:v>1950.36</c:v>
                </c:pt>
              </c:numCache>
            </c:numRef>
          </c:val>
          <c:extLst>
            <c:ext xmlns:c16="http://schemas.microsoft.com/office/drawing/2014/chart" uri="{C3380CC4-5D6E-409C-BE32-E72D297353CC}">
              <c16:uniqueId val="{00000001-9430-4727-A477-9A5A9219AEDF}"/>
            </c:ext>
          </c:extLst>
        </c:ser>
        <c:ser>
          <c:idx val="2"/>
          <c:order val="2"/>
          <c:tx>
            <c:strRef>
              <c:f>gràfiques!$A$13</c:f>
              <c:strCache>
                <c:ptCount val="1"/>
                <c:pt idx="0">
                  <c:v>2020</c:v>
                </c:pt>
              </c:strCache>
            </c:strRef>
          </c:tx>
          <c:spPr>
            <a:solidFill>
              <a:schemeClr val="accent3"/>
            </a:solidFill>
            <a:ln>
              <a:noFill/>
            </a:ln>
            <a:effectLst/>
          </c:spPr>
          <c:invertIfNegative val="0"/>
          <c:cat>
            <c:strRef>
              <c:f>gràfiques!$B$9:$M$10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gràfiques!$B$13:$M$13</c:f>
              <c:numCache>
                <c:formatCode>_("€"* #,##0.00_);_("€"* \(#,##0.00\);_("€"* "-"??_);_(@_)</c:formatCode>
                <c:ptCount val="12"/>
                <c:pt idx="0">
                  <c:v>2400.5</c:v>
                </c:pt>
                <c:pt idx="1">
                  <c:v>3687</c:v>
                </c:pt>
                <c:pt idx="2">
                  <c:v>1353.7</c:v>
                </c:pt>
                <c:pt idx="3">
                  <c:v>0</c:v>
                </c:pt>
                <c:pt idx="4">
                  <c:v>0</c:v>
                </c:pt>
                <c:pt idx="5">
                  <c:v>447.5</c:v>
                </c:pt>
                <c:pt idx="6">
                  <c:v>1988.5</c:v>
                </c:pt>
                <c:pt idx="7">
                  <c:v>4515.4399999999996</c:v>
                </c:pt>
                <c:pt idx="8">
                  <c:v>3559.9100000000003</c:v>
                </c:pt>
                <c:pt idx="9">
                  <c:v>1293.5</c:v>
                </c:pt>
                <c:pt idx="10">
                  <c:v>466</c:v>
                </c:pt>
                <c:pt idx="11">
                  <c:v>457</c:v>
                </c:pt>
              </c:numCache>
            </c:numRef>
          </c:val>
          <c:extLst>
            <c:ext xmlns:c16="http://schemas.microsoft.com/office/drawing/2014/chart" uri="{C3380CC4-5D6E-409C-BE32-E72D297353CC}">
              <c16:uniqueId val="{00000002-9430-4727-A477-9A5A9219AEDF}"/>
            </c:ext>
          </c:extLst>
        </c:ser>
        <c:ser>
          <c:idx val="3"/>
          <c:order val="3"/>
          <c:tx>
            <c:strRef>
              <c:f>gràfiques!$A$14</c:f>
              <c:strCache>
                <c:ptCount val="1"/>
                <c:pt idx="0">
                  <c:v>2019</c:v>
                </c:pt>
              </c:strCache>
            </c:strRef>
          </c:tx>
          <c:spPr>
            <a:solidFill>
              <a:schemeClr val="accent4"/>
            </a:solidFill>
            <a:ln>
              <a:noFill/>
            </a:ln>
            <a:effectLst/>
          </c:spPr>
          <c:invertIfNegative val="0"/>
          <c:cat>
            <c:strRef>
              <c:f>gràfiques!$B$9:$M$10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gràfiques!$B$14:$M$14</c:f>
              <c:numCache>
                <c:formatCode>_("€"* #,##0.00_);_("€"* \(#,##0.00\);_("€"* "-"??_);_(@_)</c:formatCode>
                <c:ptCount val="12"/>
                <c:pt idx="0">
                  <c:v>1112.95</c:v>
                </c:pt>
                <c:pt idx="1">
                  <c:v>2227.25</c:v>
                </c:pt>
                <c:pt idx="2">
                  <c:v>4013.4</c:v>
                </c:pt>
                <c:pt idx="3">
                  <c:v>4055.9</c:v>
                </c:pt>
                <c:pt idx="4">
                  <c:v>3561.85</c:v>
                </c:pt>
                <c:pt idx="5">
                  <c:v>3389.5499999999997</c:v>
                </c:pt>
                <c:pt idx="6">
                  <c:v>2428.6999999999998</c:v>
                </c:pt>
                <c:pt idx="7">
                  <c:v>3909.9</c:v>
                </c:pt>
                <c:pt idx="8">
                  <c:v>4589.75</c:v>
                </c:pt>
                <c:pt idx="9">
                  <c:v>4136.3</c:v>
                </c:pt>
                <c:pt idx="10">
                  <c:v>4638.05</c:v>
                </c:pt>
                <c:pt idx="11">
                  <c:v>3356.9</c:v>
                </c:pt>
              </c:numCache>
            </c:numRef>
          </c:val>
          <c:extLst>
            <c:ext xmlns:c16="http://schemas.microsoft.com/office/drawing/2014/chart" uri="{C3380CC4-5D6E-409C-BE32-E72D297353CC}">
              <c16:uniqueId val="{00000003-9430-4727-A477-9A5A9219AEDF}"/>
            </c:ext>
          </c:extLst>
        </c:ser>
        <c:ser>
          <c:idx val="4"/>
          <c:order val="4"/>
          <c:tx>
            <c:strRef>
              <c:f>gràfiques!$A$15</c:f>
              <c:strCache>
                <c:ptCount val="1"/>
                <c:pt idx="0">
                  <c:v>2018</c:v>
                </c:pt>
              </c:strCache>
            </c:strRef>
          </c:tx>
          <c:spPr>
            <a:solidFill>
              <a:schemeClr val="accent5"/>
            </a:solidFill>
            <a:ln>
              <a:noFill/>
            </a:ln>
            <a:effectLst/>
          </c:spPr>
          <c:invertIfNegative val="0"/>
          <c:cat>
            <c:strRef>
              <c:f>gràfiques!$B$9:$M$10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gràfiques!$B$15:$M$15</c:f>
              <c:numCache>
                <c:formatCode>_("€"* #,##0.00_);_("€"* \(#,##0.00\);_("€"* "-"??_);_(@_)</c:formatCode>
                <c:ptCount val="12"/>
                <c:pt idx="0">
                  <c:v>945.8</c:v>
                </c:pt>
                <c:pt idx="1">
                  <c:v>951.45</c:v>
                </c:pt>
                <c:pt idx="2">
                  <c:v>3386.2</c:v>
                </c:pt>
                <c:pt idx="3">
                  <c:v>2995.15</c:v>
                </c:pt>
                <c:pt idx="4">
                  <c:v>2171.35</c:v>
                </c:pt>
                <c:pt idx="5">
                  <c:v>1826.1</c:v>
                </c:pt>
                <c:pt idx="6">
                  <c:v>1642.15</c:v>
                </c:pt>
                <c:pt idx="7">
                  <c:v>2582.6</c:v>
                </c:pt>
                <c:pt idx="8">
                  <c:v>2369</c:v>
                </c:pt>
                <c:pt idx="9">
                  <c:v>7121.45</c:v>
                </c:pt>
                <c:pt idx="10">
                  <c:v>3665.25</c:v>
                </c:pt>
                <c:pt idx="11">
                  <c:v>1283.6500000000001</c:v>
                </c:pt>
              </c:numCache>
            </c:numRef>
          </c:val>
          <c:extLst>
            <c:ext xmlns:c16="http://schemas.microsoft.com/office/drawing/2014/chart" uri="{C3380CC4-5D6E-409C-BE32-E72D297353CC}">
              <c16:uniqueId val="{00000004-9430-4727-A477-9A5A9219AEDF}"/>
            </c:ext>
          </c:extLst>
        </c:ser>
        <c:dLbls>
          <c:showLegendKey val="0"/>
          <c:showVal val="0"/>
          <c:showCatName val="0"/>
          <c:showSerName val="0"/>
          <c:showPercent val="0"/>
          <c:showBubbleSize val="0"/>
        </c:dLbls>
        <c:gapWidth val="219"/>
        <c:overlap val="-27"/>
        <c:axId val="493971720"/>
        <c:axId val="493970736"/>
      </c:barChart>
      <c:catAx>
        <c:axId val="493971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3970736"/>
        <c:crosses val="autoZero"/>
        <c:auto val="1"/>
        <c:lblAlgn val="ctr"/>
        <c:lblOffset val="100"/>
        <c:noMultiLvlLbl val="0"/>
      </c:catAx>
      <c:valAx>
        <c:axId val="4939707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3971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ca-ES"/>
              <a:t>Evolució de consultes ateses</a:t>
            </a:r>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gràfiques!$A$19</c:f>
              <c:strCache>
                <c:ptCount val="1"/>
                <c:pt idx="0">
                  <c:v>2022</c:v>
                </c:pt>
              </c:strCache>
            </c:strRef>
          </c:tx>
          <c:spPr>
            <a:solidFill>
              <a:schemeClr val="accent1"/>
            </a:solidFill>
            <a:ln>
              <a:noFill/>
            </a:ln>
            <a:effectLst/>
          </c:spPr>
          <c:invertIfNegative val="0"/>
          <c:cat>
            <c:strRef>
              <c:f>gràfiques!$B$17:$M$18</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gràfiques!$B$19:$M$19</c:f>
              <c:numCache>
                <c:formatCode>_-* #,##0\ _€_-;\-* #,##0\ _€_-;_-* "-"??\ _€_-;_-@_-</c:formatCode>
                <c:ptCount val="12"/>
                <c:pt idx="0">
                  <c:v>308</c:v>
                </c:pt>
                <c:pt idx="1">
                  <c:v>363</c:v>
                </c:pt>
                <c:pt idx="2">
                  <c:v>325</c:v>
                </c:pt>
                <c:pt idx="3">
                  <c:v>682</c:v>
                </c:pt>
                <c:pt idx="4">
                  <c:v>367</c:v>
                </c:pt>
                <c:pt idx="5">
                  <c:v>315</c:v>
                </c:pt>
                <c:pt idx="6">
                  <c:v>313</c:v>
                </c:pt>
                <c:pt idx="7">
                  <c:v>599</c:v>
                </c:pt>
                <c:pt idx="8">
                  <c:v>480</c:v>
                </c:pt>
                <c:pt idx="9">
                  <c:v>1442</c:v>
                </c:pt>
                <c:pt idx="10">
                  <c:v>0</c:v>
                </c:pt>
                <c:pt idx="11">
                  <c:v>0</c:v>
                </c:pt>
              </c:numCache>
            </c:numRef>
          </c:val>
          <c:extLst>
            <c:ext xmlns:c16="http://schemas.microsoft.com/office/drawing/2014/chart" uri="{C3380CC4-5D6E-409C-BE32-E72D297353CC}">
              <c16:uniqueId val="{00000000-5DBF-4FC1-9846-416F5E167856}"/>
            </c:ext>
          </c:extLst>
        </c:ser>
        <c:ser>
          <c:idx val="1"/>
          <c:order val="1"/>
          <c:tx>
            <c:strRef>
              <c:f>gràfiques!$A$20</c:f>
              <c:strCache>
                <c:ptCount val="1"/>
                <c:pt idx="0">
                  <c:v>2021</c:v>
                </c:pt>
              </c:strCache>
            </c:strRef>
          </c:tx>
          <c:spPr>
            <a:solidFill>
              <a:schemeClr val="accent2"/>
            </a:solidFill>
            <a:ln>
              <a:noFill/>
            </a:ln>
            <a:effectLst/>
          </c:spPr>
          <c:invertIfNegative val="0"/>
          <c:cat>
            <c:strRef>
              <c:f>gràfiques!$B$17:$M$18</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gràfiques!$B$20:$M$20</c:f>
              <c:numCache>
                <c:formatCode>_-* #,##0\ _€_-;\-* #,##0\ _€_-;_-* "-"??\ _€_-;_-@_-</c:formatCode>
                <c:ptCount val="12"/>
                <c:pt idx="0">
                  <c:v>41</c:v>
                </c:pt>
                <c:pt idx="1">
                  <c:v>89</c:v>
                </c:pt>
                <c:pt idx="2">
                  <c:v>278</c:v>
                </c:pt>
                <c:pt idx="3">
                  <c:v>313</c:v>
                </c:pt>
                <c:pt idx="4">
                  <c:v>561</c:v>
                </c:pt>
                <c:pt idx="5">
                  <c:v>413</c:v>
                </c:pt>
                <c:pt idx="6">
                  <c:v>413</c:v>
                </c:pt>
                <c:pt idx="7">
                  <c:v>836</c:v>
                </c:pt>
                <c:pt idx="8">
                  <c:v>703</c:v>
                </c:pt>
                <c:pt idx="9">
                  <c:v>432</c:v>
                </c:pt>
                <c:pt idx="10">
                  <c:v>239</c:v>
                </c:pt>
                <c:pt idx="11">
                  <c:v>236</c:v>
                </c:pt>
              </c:numCache>
            </c:numRef>
          </c:val>
          <c:extLst>
            <c:ext xmlns:c16="http://schemas.microsoft.com/office/drawing/2014/chart" uri="{C3380CC4-5D6E-409C-BE32-E72D297353CC}">
              <c16:uniqueId val="{00000001-5DBF-4FC1-9846-416F5E167856}"/>
            </c:ext>
          </c:extLst>
        </c:ser>
        <c:ser>
          <c:idx val="2"/>
          <c:order val="2"/>
          <c:tx>
            <c:strRef>
              <c:f>gràfiques!$A$21</c:f>
              <c:strCache>
                <c:ptCount val="1"/>
                <c:pt idx="0">
                  <c:v>2020</c:v>
                </c:pt>
              </c:strCache>
            </c:strRef>
          </c:tx>
          <c:spPr>
            <a:solidFill>
              <a:schemeClr val="accent3"/>
            </a:solidFill>
            <a:ln>
              <a:noFill/>
            </a:ln>
            <a:effectLst/>
          </c:spPr>
          <c:invertIfNegative val="0"/>
          <c:cat>
            <c:strRef>
              <c:f>gràfiques!$B$17:$M$18</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gràfiques!$B$21:$M$21</c:f>
              <c:numCache>
                <c:formatCode>_-* #,##0\ _€_-;\-* #,##0\ _€_-;_-* "-"??\ _€_-;_-@_-</c:formatCode>
                <c:ptCount val="12"/>
                <c:pt idx="0">
                  <c:v>255</c:v>
                </c:pt>
                <c:pt idx="1">
                  <c:v>790</c:v>
                </c:pt>
                <c:pt idx="2">
                  <c:v>219</c:v>
                </c:pt>
                <c:pt idx="3">
                  <c:v>0</c:v>
                </c:pt>
                <c:pt idx="4">
                  <c:v>18</c:v>
                </c:pt>
                <c:pt idx="5">
                  <c:v>108</c:v>
                </c:pt>
                <c:pt idx="6">
                  <c:v>396</c:v>
                </c:pt>
                <c:pt idx="7">
                  <c:v>548</c:v>
                </c:pt>
                <c:pt idx="8">
                  <c:v>354</c:v>
                </c:pt>
                <c:pt idx="9">
                  <c:v>400</c:v>
                </c:pt>
                <c:pt idx="10">
                  <c:v>104</c:v>
                </c:pt>
                <c:pt idx="11">
                  <c:v>237</c:v>
                </c:pt>
              </c:numCache>
            </c:numRef>
          </c:val>
          <c:extLst>
            <c:ext xmlns:c16="http://schemas.microsoft.com/office/drawing/2014/chart" uri="{C3380CC4-5D6E-409C-BE32-E72D297353CC}">
              <c16:uniqueId val="{00000002-5DBF-4FC1-9846-416F5E167856}"/>
            </c:ext>
          </c:extLst>
        </c:ser>
        <c:ser>
          <c:idx val="3"/>
          <c:order val="3"/>
          <c:tx>
            <c:strRef>
              <c:f>gràfiques!$A$22</c:f>
              <c:strCache>
                <c:ptCount val="1"/>
                <c:pt idx="0">
                  <c:v>2019</c:v>
                </c:pt>
              </c:strCache>
            </c:strRef>
          </c:tx>
          <c:spPr>
            <a:solidFill>
              <a:schemeClr val="accent4"/>
            </a:solidFill>
            <a:ln>
              <a:noFill/>
            </a:ln>
            <a:effectLst/>
          </c:spPr>
          <c:invertIfNegative val="0"/>
          <c:cat>
            <c:strRef>
              <c:f>gràfiques!$B$17:$M$18</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gràfiques!$B$22:$M$22</c:f>
              <c:numCache>
                <c:formatCode>_-* #,##0\ _€_-;\-* #,##0\ _€_-;_-* "-"??\ _€_-;_-@_-</c:formatCode>
                <c:ptCount val="12"/>
                <c:pt idx="0">
                  <c:v>403</c:v>
                </c:pt>
                <c:pt idx="1">
                  <c:v>400</c:v>
                </c:pt>
                <c:pt idx="2">
                  <c:v>519</c:v>
                </c:pt>
                <c:pt idx="3">
                  <c:v>583</c:v>
                </c:pt>
                <c:pt idx="4">
                  <c:v>637</c:v>
                </c:pt>
                <c:pt idx="5">
                  <c:v>642</c:v>
                </c:pt>
                <c:pt idx="6">
                  <c:v>410</c:v>
                </c:pt>
                <c:pt idx="7">
                  <c:v>793</c:v>
                </c:pt>
                <c:pt idx="8">
                  <c:v>779</c:v>
                </c:pt>
                <c:pt idx="9">
                  <c:v>492</c:v>
                </c:pt>
                <c:pt idx="10">
                  <c:v>491</c:v>
                </c:pt>
                <c:pt idx="11">
                  <c:v>32</c:v>
                </c:pt>
              </c:numCache>
            </c:numRef>
          </c:val>
          <c:extLst>
            <c:ext xmlns:c16="http://schemas.microsoft.com/office/drawing/2014/chart" uri="{C3380CC4-5D6E-409C-BE32-E72D297353CC}">
              <c16:uniqueId val="{00000003-5DBF-4FC1-9846-416F5E167856}"/>
            </c:ext>
          </c:extLst>
        </c:ser>
        <c:ser>
          <c:idx val="4"/>
          <c:order val="4"/>
          <c:tx>
            <c:strRef>
              <c:f>gràfiques!$A$23</c:f>
              <c:strCache>
                <c:ptCount val="1"/>
                <c:pt idx="0">
                  <c:v>2018</c:v>
                </c:pt>
              </c:strCache>
            </c:strRef>
          </c:tx>
          <c:spPr>
            <a:solidFill>
              <a:schemeClr val="accent5"/>
            </a:solidFill>
            <a:ln>
              <a:noFill/>
            </a:ln>
            <a:effectLst/>
          </c:spPr>
          <c:invertIfNegative val="0"/>
          <c:cat>
            <c:strRef>
              <c:f>gràfiques!$B$17:$M$18</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gràfiques!$B$23:$M$23</c:f>
              <c:numCache>
                <c:formatCode>_-* #,##0\ _€_-;\-* #,##0\ _€_-;_-* "-"??\ _€_-;_-@_-</c:formatCode>
                <c:ptCount val="12"/>
                <c:pt idx="0">
                  <c:v>327</c:v>
                </c:pt>
                <c:pt idx="1">
                  <c:v>146</c:v>
                </c:pt>
                <c:pt idx="2">
                  <c:v>259</c:v>
                </c:pt>
                <c:pt idx="3">
                  <c:v>325</c:v>
                </c:pt>
                <c:pt idx="4">
                  <c:v>603</c:v>
                </c:pt>
                <c:pt idx="5">
                  <c:v>182</c:v>
                </c:pt>
                <c:pt idx="6">
                  <c:v>298</c:v>
                </c:pt>
                <c:pt idx="7">
                  <c:v>361</c:v>
                </c:pt>
                <c:pt idx="8">
                  <c:v>466</c:v>
                </c:pt>
                <c:pt idx="9">
                  <c:v>553</c:v>
                </c:pt>
                <c:pt idx="10">
                  <c:v>323</c:v>
                </c:pt>
                <c:pt idx="11">
                  <c:v>264</c:v>
                </c:pt>
              </c:numCache>
            </c:numRef>
          </c:val>
          <c:extLst>
            <c:ext xmlns:c16="http://schemas.microsoft.com/office/drawing/2014/chart" uri="{C3380CC4-5D6E-409C-BE32-E72D297353CC}">
              <c16:uniqueId val="{00000004-5DBF-4FC1-9846-416F5E167856}"/>
            </c:ext>
          </c:extLst>
        </c:ser>
        <c:dLbls>
          <c:showLegendKey val="0"/>
          <c:showVal val="0"/>
          <c:showCatName val="0"/>
          <c:showSerName val="0"/>
          <c:showPercent val="0"/>
          <c:showBubbleSize val="0"/>
        </c:dLbls>
        <c:gapWidth val="219"/>
        <c:overlap val="-27"/>
        <c:axId val="490214328"/>
        <c:axId val="490214656"/>
      </c:barChart>
      <c:catAx>
        <c:axId val="4902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0214656"/>
        <c:crosses val="autoZero"/>
        <c:auto val="1"/>
        <c:lblAlgn val="ctr"/>
        <c:lblOffset val="100"/>
        <c:noMultiLvlLbl val="0"/>
      </c:catAx>
      <c:valAx>
        <c:axId val="490214656"/>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0214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25</xdr:row>
      <xdr:rowOff>23812</xdr:rowOff>
    </xdr:from>
    <xdr:to>
      <xdr:col>6</xdr:col>
      <xdr:colOff>285750</xdr:colOff>
      <xdr:row>39</xdr:row>
      <xdr:rowOff>100012</xdr:rowOff>
    </xdr:to>
    <xdr:graphicFrame macro="">
      <xdr:nvGraphicFramePr>
        <xdr:cNvPr id="2" name="Gràfic 1">
          <a:extLst>
            <a:ext uri="{FF2B5EF4-FFF2-40B4-BE49-F238E27FC236}">
              <a16:creationId xmlns:a16="http://schemas.microsoft.com/office/drawing/2014/main" id="{792F8955-9E55-4ADB-9EEC-B5851A78FB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390525</xdr:colOff>
      <xdr:row>25</xdr:row>
      <xdr:rowOff>4762</xdr:rowOff>
    </xdr:from>
    <xdr:to>
      <xdr:col>12</xdr:col>
      <xdr:colOff>514350</xdr:colOff>
      <xdr:row>39</xdr:row>
      <xdr:rowOff>80962</xdr:rowOff>
    </xdr:to>
    <xdr:graphicFrame macro="">
      <xdr:nvGraphicFramePr>
        <xdr:cNvPr id="3" name="Gràfic 2">
          <a:extLst>
            <a:ext uri="{FF2B5EF4-FFF2-40B4-BE49-F238E27FC236}">
              <a16:creationId xmlns:a16="http://schemas.microsoft.com/office/drawing/2014/main" id="{EADC3CAC-0B00-4A7C-A4BD-B5A093D1E7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228600</xdr:colOff>
      <xdr:row>40</xdr:row>
      <xdr:rowOff>157162</xdr:rowOff>
    </xdr:from>
    <xdr:to>
      <xdr:col>9</xdr:col>
      <xdr:colOff>352425</xdr:colOff>
      <xdr:row>55</xdr:row>
      <xdr:rowOff>42862</xdr:rowOff>
    </xdr:to>
    <xdr:graphicFrame macro="">
      <xdr:nvGraphicFramePr>
        <xdr:cNvPr id="4" name="Gràfic 3">
          <a:extLst>
            <a:ext uri="{FF2B5EF4-FFF2-40B4-BE49-F238E27FC236}">
              <a16:creationId xmlns:a16="http://schemas.microsoft.com/office/drawing/2014/main" id="{FBFA2DAB-EBEF-4A21-A404-87A8C061D8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STALRIC245\Oficines\H100%20PROMOCI&#211;%20ECON&#210;MICA\H101%20Desenvolupament%20territorial\H102%20Turisme\H104a%20Oficina%20de%20Turisme\21-02%20Estad&#237;stiques\_Control%20estadi&#769;stic_fortalesa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100%20PROMOCI&#211;%20ECON&#210;MICA/H101%20Desenvolupament%20territorial/H102%20Turisme/H104r%20Botiga_Domus/2021/Vendes/Vendes%20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STALRIC245\Oficines\H100%20PROMOCI&#211;%20ECON&#210;MICA\H101%20Desenvolupament%20territorial\H102%20Turisme\H104a%20Oficina%20de%20Turisme\02-20%20Estad&#237;stiques\_Control%20estadi&#769;stic_fortalesa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STALRIC245\H100%20PROMOCI&#211;%20ECON&#210;MICA\H101%20Desenvolupament%20territorial\H102%20Turisme\H104r%20Botiga_Domus\2019\Vendes\Vendes%2020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100%20PROMOCI&#211;%20ECON&#210;MICA/H101%20Desenvolupament%20territorial/H102%20Turisme/H102d%20Comercialitzaci&#243;/2020/03-20%20Facturaci&#243;%20Domus/Facturaci&#243;%20Domus%20Tallers%20+%20Lloguer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 ANUAL"/>
      <sheetName val="Full1"/>
      <sheetName val="Gener"/>
      <sheetName val="Febrer"/>
      <sheetName val="Març"/>
      <sheetName val="Abril"/>
      <sheetName val="Maig"/>
      <sheetName val="Juny"/>
      <sheetName val="Juliol"/>
      <sheetName val="Agost"/>
      <sheetName val="Setembre"/>
      <sheetName val="Octubre"/>
      <sheetName val="Novembre"/>
      <sheetName val="Desembre"/>
      <sheetName val="Botiga"/>
    </sheetNames>
    <sheetDataSet>
      <sheetData sheetId="0" refreshError="1">
        <row r="3">
          <cell r="F3">
            <v>23</v>
          </cell>
          <cell r="G3">
            <v>35</v>
          </cell>
        </row>
        <row r="4">
          <cell r="G4">
            <v>456</v>
          </cell>
        </row>
        <row r="8">
          <cell r="F8">
            <v>93</v>
          </cell>
          <cell r="G8">
            <v>113</v>
          </cell>
        </row>
        <row r="15">
          <cell r="F15">
            <v>1230.4599999999998</v>
          </cell>
          <cell r="G15">
            <v>1307.0899999999999</v>
          </cell>
        </row>
        <row r="16">
          <cell r="F16">
            <v>440.14</v>
          </cell>
          <cell r="G16">
            <v>536.11999999999989</v>
          </cell>
        </row>
      </sheetData>
      <sheetData sheetId="1" refreshError="1"/>
      <sheetData sheetId="2" refreshError="1"/>
      <sheetData sheetId="3" refreshError="1"/>
      <sheetData sheetId="4" refreshError="1"/>
      <sheetData sheetId="5" refreshError="1">
        <row r="183">
          <cell r="I183">
            <v>424</v>
          </cell>
        </row>
      </sheetData>
      <sheetData sheetId="6" refreshError="1">
        <row r="227">
          <cell r="G227">
            <v>59</v>
          </cell>
          <cell r="H227">
            <v>144.13999999999999</v>
          </cell>
        </row>
        <row r="228">
          <cell r="G228">
            <v>93</v>
          </cell>
          <cell r="H228">
            <v>444.12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D5">
            <v>17.600000000000001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BOTIGA 2021"/>
      <sheetName val="Gener"/>
      <sheetName val="Febrer"/>
      <sheetName val="Març"/>
      <sheetName val="Abril"/>
      <sheetName val="Maig"/>
      <sheetName val="Juny"/>
      <sheetName val="Juliol"/>
      <sheetName val="Agost"/>
      <sheetName val="Setembre"/>
      <sheetName val="Octubre"/>
      <sheetName val="Novembre"/>
      <sheetName val="Desembre"/>
      <sheetName val="Hoja1"/>
    </sheetNames>
    <sheetDataSet>
      <sheetData sheetId="0">
        <row r="6">
          <cell r="B6">
            <v>404.78999999999991</v>
          </cell>
          <cell r="I6">
            <v>114</v>
          </cell>
        </row>
        <row r="7">
          <cell r="F7">
            <v>14</v>
          </cell>
          <cell r="I7">
            <v>216</v>
          </cell>
        </row>
        <row r="22">
          <cell r="F22">
            <v>4</v>
          </cell>
          <cell r="I22">
            <v>305.78999999999996</v>
          </cell>
        </row>
        <row r="23">
          <cell r="F23">
            <v>27</v>
          </cell>
          <cell r="I23">
            <v>544.69999999999982</v>
          </cell>
        </row>
      </sheetData>
      <sheetData sheetId="1"/>
      <sheetData sheetId="2"/>
      <sheetData sheetId="3"/>
      <sheetData sheetId="4">
        <row r="75">
          <cell r="J75">
            <v>305.78999999999996</v>
          </cell>
        </row>
      </sheetData>
      <sheetData sheetId="5"/>
      <sheetData sheetId="6"/>
      <sheetData sheetId="7"/>
      <sheetData sheetId="8"/>
      <sheetData sheetId="9"/>
      <sheetData sheetId="10"/>
      <sheetData sheetId="11"/>
      <sheetData sheetId="12">
        <row r="34">
          <cell r="I34">
            <v>57</v>
          </cell>
          <cell r="J34">
            <v>157.5</v>
          </cell>
        </row>
        <row r="47">
          <cell r="I47">
            <v>21</v>
          </cell>
          <cell r="J47">
            <v>47.46</v>
          </cell>
        </row>
        <row r="57">
          <cell r="I57">
            <v>14</v>
          </cell>
          <cell r="J57">
            <v>24.5</v>
          </cell>
        </row>
        <row r="62">
          <cell r="J62">
            <v>23.28</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 ANUAL"/>
      <sheetName val="Gener"/>
      <sheetName val="Febrer"/>
      <sheetName val="Març"/>
      <sheetName val="Abril"/>
      <sheetName val="Maig"/>
      <sheetName val="Juny"/>
      <sheetName val="Juliol"/>
      <sheetName val="Agost"/>
      <sheetName val="Setembre"/>
      <sheetName val="Octubre"/>
      <sheetName val="Novembre"/>
      <sheetName val="Desembre"/>
      <sheetName val="Botiga"/>
    </sheetNames>
    <sheetDataSet>
      <sheetData sheetId="0" refreshError="1">
        <row r="3">
          <cell r="N3">
            <v>53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BOTIGA 2019"/>
      <sheetName val="Gener"/>
      <sheetName val="Febrer"/>
      <sheetName val="Març"/>
      <sheetName val="Abril"/>
      <sheetName val="Maig"/>
      <sheetName val="Juny"/>
      <sheetName val="Juliol"/>
      <sheetName val="Agost"/>
      <sheetName val="Setembre"/>
      <sheetName val="Octubre"/>
      <sheetName val="Novembre"/>
      <sheetName val="Desembre"/>
    </sheetNames>
    <sheetDataSet>
      <sheetData sheetId="0" refreshError="1">
        <row r="10">
          <cell r="F10">
            <v>46</v>
          </cell>
        </row>
        <row r="11">
          <cell r="F11">
            <v>25</v>
          </cell>
          <cell r="I11">
            <v>77</v>
          </cell>
        </row>
        <row r="14">
          <cell r="F14">
            <v>8</v>
          </cell>
        </row>
        <row r="26">
          <cell r="F26">
            <v>67</v>
          </cell>
        </row>
        <row r="27">
          <cell r="F27">
            <v>41</v>
          </cell>
          <cell r="I27">
            <v>204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ers"/>
      <sheetName val="Castell"/>
      <sheetName val="Lloguers"/>
      <sheetName val="Hoja1"/>
    </sheetNames>
    <sheetDataSet>
      <sheetData sheetId="0">
        <row r="7">
          <cell r="H7">
            <v>4655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Lidia - Centre Domus" id="{D6CB9ED8-97F3-4C0A-B07C-1C9656ECE433}" userId="Lidia - Centre Domus" providerId="None"/>
  <person displayName="Domus" id="{0E68912E-915C-4CB1-8C11-3488BCB41047}" userId="S-1-5-21-1405967495-3961133992-1436267920-2624" providerId="AD"/>
</personList>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 dT="2022-05-02T10:24:38.31" personId="{0E68912E-915C-4CB1-8C11-3488BCB41047}" id="{1B1627FB-677D-4BBF-8CE3-62C43FCA028B}">
    <text>Fira Medieval</text>
  </threadedComment>
  <threadedComment ref="C30" dT="2021-02-02T09:52:28.78" personId="{0E68912E-915C-4CB1-8C11-3488BCB41047}" id="{2AED41E8-0162-4D20-AF97-9913FAF5C86C}">
    <text>Confinament municipal tot el mes</text>
  </threadedComment>
  <threadedComment ref="D30" dT="2021-03-01T11:54:09.90" personId="{D6CB9ED8-97F3-4C0A-B07C-1C9656ECE433}" id="{A58D4B14-6151-420F-A877-A39ED3400230}">
    <text>Confinament municipal fins el 7/02 i confimanet comarcal la resta del mes</text>
  </threadedComment>
  <threadedComment ref="F30" dT="2021-04-26T07:08:05.52" personId="{D6CB9ED8-97F3-4C0A-B07C-1C9656ECE433}" id="{79EA2BE1-1826-4CE6-908C-96ED1FB5C951}">
    <text>Del 2-5/04 no hi ha confinament castell obert cada dia, del 6/04 al 30/04 confinament comarcal obert només caps de setmana matí</text>
  </threadedComment>
  <threadedComment ref="G41" dT="2021-05-24T09:40:45.61" personId="{D6CB9ED8-97F3-4C0A-B07C-1C9656ECE433}" id="{0FEB766A-C899-4539-84EF-F8813A5813B0}">
    <text>No se n'ha realitzat cap, comencem el 5/06</text>
  </threadedComment>
  <threadedComment ref="G51" dT="2021-05-24T09:46:54.49" personId="{D6CB9ED8-97F3-4C0A-B07C-1C9656ECE433}" id="{74A59FA0-A2CE-4543-9229-6E7B4154BAB7}">
    <text>No se n'ha realitzat cap, comencem el 5/06</text>
  </threadedComment>
  <threadedComment ref="F57" dT="2021-01-04T10:13:20.79" personId="{0E68912E-915C-4CB1-8C11-3488BCB41047}" id="{2D431436-2086-4196-A6E9-F5F411D9419F}">
    <text>Tancat: confinament</text>
  </threadedComment>
  <threadedComment ref="G57" dT="2021-01-04T10:13:34.67" personId="{0E68912E-915C-4CB1-8C11-3488BCB41047}" id="{534EF98D-CAB2-47B0-A8D1-D1863B01D17A}">
    <text>Tancat: confinament</text>
  </threadedComment>
  <threadedComment ref="M57" dT="2021-01-04T09:49:05.92" personId="{0E68912E-915C-4CB1-8C11-3488BCB41047}" id="{8CF648E8-E736-4777-B316-57352D046F83}">
    <text>Confinament municipal tot el mes</text>
  </threadedComment>
  <threadedComment ref="N57" dT="2021-01-04T09:51:15.31" personId="{0E68912E-915C-4CB1-8C11-3488BCB41047}" id="{B10FA439-7E85-40D4-88B5-A5B122F0E3E8}">
    <text>Castell: obert 5 i 6 per residents locals, 7 i 8/12 i a partir del 19/12. OIT tancada caps de setmana fins el 19 i 20/12</text>
  </threadedComment>
</ThreadedComments>
</file>

<file path=xl/threadedComments/threadedComment2.xml><?xml version="1.0" encoding="utf-8"?>
<ThreadedComments xmlns="http://schemas.microsoft.com/office/spreadsheetml/2018/threadedcomments" xmlns:x="http://schemas.openxmlformats.org/spreadsheetml/2006/main">
  <threadedComment ref="E2" dT="2022-05-02T10:24:38.31" personId="{0E68912E-915C-4CB1-8C11-3488BCB41047}" id="{1D44D991-C2CA-4632-BF2C-1CF582C29A9D}">
    <text>Fira Medieval</text>
  </threadedComment>
  <threadedComment ref="E10" dT="2022-05-02T10:24:38.31" personId="{0E68912E-915C-4CB1-8C11-3488BCB41047}" id="{9298BA50-6375-4C3D-A1B2-D344E4EF56EA}">
    <text>Fira Medieval</text>
  </threadedComment>
  <threadedComment ref="E18" dT="2022-05-02T10:24:38.31" personId="{0E68912E-915C-4CB1-8C11-3488BCB41047}" id="{36A48A0F-9BDF-48FF-8D96-16332F10889A}">
    <text>Fira Medieval</text>
  </threadedComment>
</ThreadedComments>
</file>

<file path=xl/threadedComments/threadedComment3.xml><?xml version="1.0" encoding="utf-8"?>
<ThreadedComments xmlns="http://schemas.microsoft.com/office/spreadsheetml/2018/threadedcomments" xmlns:x="http://schemas.openxmlformats.org/spreadsheetml/2006/main">
  <threadedComment ref="B20" dT="2021-02-02T09:52:28.78" personId="{0E68912E-915C-4CB1-8C11-3488BCB41047}" id="{1E1EA8DC-D6F1-468C-B461-067963981D37}">
    <text>Confinament municipal tot el mes</text>
  </threadedComment>
  <threadedComment ref="C20" dT="2021-03-01T11:54:09.90" personId="{D6CB9ED8-97F3-4C0A-B07C-1C9656ECE433}" id="{909A97CB-8EF4-4A0E-B983-1ED4FFC5FAC6}">
    <text>Confinament municipal fins el 7/02 i confimanet comarcal la resta del mes</text>
  </threadedComment>
  <threadedComment ref="E20" dT="2021-04-26T07:08:05.52" personId="{D6CB9ED8-97F3-4C0A-B07C-1C9656ECE433}" id="{DDFA9049-C79F-4812-9558-E2E301E90D7A}">
    <text>Del 2-5/04 no hi ha confinament castell obert cada dia, del 6/04 al 30/04 confinament comarcal obert només caps de setmana matí</text>
  </threadedComment>
  <threadedComment ref="B28" dT="2021-02-02T09:52:28.78" personId="{0E68912E-915C-4CB1-8C11-3488BCB41047}" id="{EFE0D729-464F-4F0D-B1F1-819E1B4782FA}">
    <text>Confinament municipal tot el mes</text>
  </threadedComment>
  <threadedComment ref="C28" dT="2021-03-01T11:54:09.90" personId="{D6CB9ED8-97F3-4C0A-B07C-1C9656ECE433}" id="{6F9C8097-F533-4871-985C-94BE161514AD}">
    <text>Confinament municipal fins el 7/02 i confimanet comarcal la resta del mes</text>
  </threadedComment>
  <threadedComment ref="E28" dT="2021-04-26T07:08:05.52" personId="{D6CB9ED8-97F3-4C0A-B07C-1C9656ECE433}" id="{897AE85D-4CF1-4D3A-B3AC-464B1C0F339F}">
    <text>Del 2-5/04 no hi ha confinament castell obert cada dia, del 6/04 al 30/04 confinament comarcal obert només caps de setmana matí</text>
  </threadedComment>
</ThreadedComments>
</file>

<file path=xl/threadedComments/threadedComment4.xml><?xml version="1.0" encoding="utf-8"?>
<ThreadedComments xmlns="http://schemas.microsoft.com/office/spreadsheetml/2018/threadedcomments" xmlns:x="http://schemas.openxmlformats.org/spreadsheetml/2006/main">
  <threadedComment ref="S21" dT="2021-01-04T10:26:00.55" personId="{0E68912E-915C-4CB1-8C11-3488BCB41047}" id="{B596419C-6633-475F-9326-CA441FB13387}">
    <text>Falta afegir els esdeveniments/ingressos del castell</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AEDC-0FF4-4B40-9162-3715926520A2}">
  <dimension ref="A1:K10"/>
  <sheetViews>
    <sheetView workbookViewId="0">
      <selection activeCell="H3" sqref="H3"/>
    </sheetView>
  </sheetViews>
  <sheetFormatPr defaultColWidth="11.42578125" defaultRowHeight="15" x14ac:dyDescent="0.25"/>
  <cols>
    <col min="1" max="1" width="19.85546875" bestFit="1" customWidth="1"/>
    <col min="2" max="2" width="33" bestFit="1" customWidth="1"/>
    <col min="3" max="4" width="12" bestFit="1" customWidth="1"/>
    <col min="5" max="5" width="9.28515625" customWidth="1"/>
    <col min="6" max="6" width="12" bestFit="1" customWidth="1"/>
    <col min="7" max="7" width="9.28515625" customWidth="1"/>
    <col min="8" max="8" width="12" bestFit="1" customWidth="1"/>
    <col min="9" max="9" width="9.42578125" customWidth="1"/>
  </cols>
  <sheetData>
    <row r="1" spans="1:11" x14ac:dyDescent="0.25">
      <c r="A1" s="137"/>
      <c r="B1" s="353" t="s">
        <v>75</v>
      </c>
      <c r="C1" s="31">
        <v>2018</v>
      </c>
      <c r="D1" s="352">
        <v>2019</v>
      </c>
      <c r="E1" s="352"/>
      <c r="F1" s="352">
        <v>2020</v>
      </c>
      <c r="G1" s="352"/>
      <c r="H1" s="352">
        <v>2021</v>
      </c>
      <c r="I1" s="352"/>
      <c r="J1" s="352">
        <v>2022</v>
      </c>
      <c r="K1" s="352"/>
    </row>
    <row r="2" spans="1:11" x14ac:dyDescent="0.25">
      <c r="A2" s="217"/>
      <c r="B2" s="353"/>
      <c r="C2" s="31" t="s">
        <v>64</v>
      </c>
      <c r="D2" s="31" t="s">
        <v>64</v>
      </c>
      <c r="E2" s="31" t="s">
        <v>67</v>
      </c>
      <c r="F2" s="31" t="s">
        <v>64</v>
      </c>
      <c r="G2" s="31" t="s">
        <v>67</v>
      </c>
      <c r="H2" s="31" t="s">
        <v>64</v>
      </c>
      <c r="I2" s="31" t="s">
        <v>67</v>
      </c>
      <c r="J2" s="290" t="s">
        <v>64</v>
      </c>
      <c r="K2" s="290" t="s">
        <v>67</v>
      </c>
    </row>
    <row r="3" spans="1:11" s="154" customFormat="1" x14ac:dyDescent="0.25">
      <c r="A3" s="218"/>
      <c r="B3" s="211" t="s">
        <v>56</v>
      </c>
      <c r="C3" s="209">
        <f>RESUM!C5</f>
        <v>4107</v>
      </c>
      <c r="D3" s="209">
        <f>RESUM!F5</f>
        <v>6181</v>
      </c>
      <c r="E3" s="219">
        <f>(D3-C3)/C3</f>
        <v>0.50499147796445099</v>
      </c>
      <c r="F3" s="209">
        <f>RESUM!I5</f>
        <v>3429</v>
      </c>
      <c r="G3" s="219">
        <f>(F3-D3)/D3</f>
        <v>-0.44523539880278273</v>
      </c>
      <c r="H3" s="209">
        <f>RESUM!L5</f>
        <v>4554</v>
      </c>
      <c r="I3" s="219">
        <f>(H3-F3)/F3</f>
        <v>0.32808398950131235</v>
      </c>
    </row>
    <row r="4" spans="1:11" s="154" customFormat="1" x14ac:dyDescent="0.25">
      <c r="A4" s="218"/>
      <c r="B4" s="211" t="s">
        <v>93</v>
      </c>
      <c r="C4" s="209">
        <f>RESUM!C14</f>
        <v>11830</v>
      </c>
      <c r="D4" s="209">
        <f>RESUM!F14</f>
        <v>15937</v>
      </c>
      <c r="E4" s="219">
        <f t="shared" ref="E4:E6" si="0">(D4-C4)/C4</f>
        <v>0.34716821639898565</v>
      </c>
      <c r="F4" s="209">
        <f>RESUM!I14</f>
        <v>8124</v>
      </c>
      <c r="G4" s="219">
        <f t="shared" ref="G4:G6" si="1">(F4-D4)/D4</f>
        <v>-0.49024283114764383</v>
      </c>
      <c r="H4" s="209">
        <f>RESUM!L14</f>
        <v>9505</v>
      </c>
      <c r="I4" s="219">
        <f t="shared" ref="I4:I6" si="2">(H4-F4)/F4</f>
        <v>0.16999015263417036</v>
      </c>
    </row>
    <row r="5" spans="1:11" s="154" customFormat="1" x14ac:dyDescent="0.25">
      <c r="A5" s="218"/>
      <c r="B5" s="211" t="s">
        <v>39</v>
      </c>
      <c r="C5" s="210">
        <f>RESUM!C25</f>
        <v>30940.15</v>
      </c>
      <c r="D5" s="210">
        <f>RESUM!F25</f>
        <v>41420.5</v>
      </c>
      <c r="E5" s="219">
        <f t="shared" si="0"/>
        <v>0.3387297734497085</v>
      </c>
      <c r="F5" s="210">
        <f>RESUM!I25</f>
        <v>20169.05</v>
      </c>
      <c r="G5" s="219">
        <f t="shared" si="1"/>
        <v>-0.51306599389191343</v>
      </c>
      <c r="H5" s="210">
        <f>RESUM!L25</f>
        <v>33787.589999999997</v>
      </c>
      <c r="I5" s="219">
        <f t="shared" si="2"/>
        <v>0.67521970543977028</v>
      </c>
    </row>
    <row r="6" spans="1:11" s="121" customFormat="1" x14ac:dyDescent="0.25">
      <c r="A6" s="213"/>
      <c r="B6" s="212" t="s">
        <v>16</v>
      </c>
      <c r="C6" s="214">
        <f>RESUM!C34</f>
        <v>2.1646053051647405</v>
      </c>
      <c r="D6" s="214">
        <f>RESUM!F34</f>
        <v>2.3204777676315116</v>
      </c>
      <c r="E6" s="219">
        <f t="shared" si="0"/>
        <v>7.2009646328991234E-2</v>
      </c>
      <c r="F6" s="214">
        <f>RESUM!I34</f>
        <v>2.8375947123037326</v>
      </c>
      <c r="G6" s="219">
        <f t="shared" si="1"/>
        <v>0.22284934244383522</v>
      </c>
      <c r="H6" s="214">
        <f>RESUM!L34</f>
        <v>3.5320832484809905</v>
      </c>
      <c r="I6" s="219">
        <f t="shared" si="2"/>
        <v>0.24474549982982938</v>
      </c>
    </row>
    <row r="7" spans="1:11" x14ac:dyDescent="0.25">
      <c r="B7" s="220" t="s">
        <v>92</v>
      </c>
      <c r="E7" s="93"/>
      <c r="H7" s="209">
        <f>'Vendes Tiqets'!N25</f>
        <v>2015</v>
      </c>
    </row>
    <row r="8" spans="1:11" x14ac:dyDescent="0.25">
      <c r="B8" s="220" t="s">
        <v>76</v>
      </c>
      <c r="H8" s="210">
        <f>'Vendes Tiqets'!N33</f>
        <v>6974.3899999999994</v>
      </c>
    </row>
    <row r="9" spans="1:11" x14ac:dyDescent="0.25">
      <c r="B9" s="233" t="s">
        <v>74</v>
      </c>
      <c r="H9" s="101">
        <f>H7/H4</f>
        <v>0.21199368753287742</v>
      </c>
    </row>
    <row r="10" spans="1:11" x14ac:dyDescent="0.25">
      <c r="H10" s="101"/>
    </row>
  </sheetData>
  <mergeCells count="5">
    <mergeCell ref="D1:E1"/>
    <mergeCell ref="F1:G1"/>
    <mergeCell ref="H1:I1"/>
    <mergeCell ref="B1:B2"/>
    <mergeCell ref="J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33C31-5430-49B5-BA16-D723897EDA3F}">
  <dimension ref="A1:I28"/>
  <sheetViews>
    <sheetView topLeftCell="B1" workbookViewId="0">
      <selection activeCell="D20" sqref="D20"/>
    </sheetView>
  </sheetViews>
  <sheetFormatPr defaultColWidth="9.140625" defaultRowHeight="15" x14ac:dyDescent="0.25"/>
  <cols>
    <col min="1" max="1" width="20" bestFit="1" customWidth="1"/>
    <col min="2" max="2" width="19.85546875" bestFit="1" customWidth="1"/>
    <col min="3" max="3" width="10.28515625" customWidth="1"/>
    <col min="4" max="6" width="12" bestFit="1" customWidth="1"/>
    <col min="7" max="9" width="17.5703125" bestFit="1" customWidth="1"/>
  </cols>
  <sheetData>
    <row r="1" spans="1:9" ht="15.75" thickBot="1" x14ac:dyDescent="0.3">
      <c r="C1" s="238">
        <v>2022</v>
      </c>
      <c r="D1" s="238">
        <v>2021</v>
      </c>
      <c r="E1" s="236">
        <v>2020</v>
      </c>
      <c r="F1" s="237">
        <v>2019</v>
      </c>
      <c r="G1" s="293" t="s">
        <v>94</v>
      </c>
      <c r="H1" s="236" t="s">
        <v>77</v>
      </c>
      <c r="I1" s="237" t="s">
        <v>78</v>
      </c>
    </row>
    <row r="2" spans="1:9" ht="15.75" customHeight="1" thickBot="1" x14ac:dyDescent="0.3">
      <c r="A2" s="362"/>
      <c r="B2" s="363"/>
      <c r="C2" s="301"/>
      <c r="D2" s="354"/>
      <c r="E2" s="355"/>
      <c r="F2" s="355"/>
      <c r="G2" s="355"/>
      <c r="H2" s="355"/>
      <c r="I2" s="356"/>
    </row>
    <row r="3" spans="1:9" x14ac:dyDescent="0.25">
      <c r="A3" s="359" t="s">
        <v>56</v>
      </c>
      <c r="B3" s="80" t="s">
        <v>55</v>
      </c>
      <c r="C3" s="296"/>
      <c r="D3" s="235">
        <f>'Evolució mensual_anys'!O31</f>
        <v>159</v>
      </c>
      <c r="E3" s="246">
        <f>'Evolució mensual_anys'!O58</f>
        <v>494</v>
      </c>
      <c r="F3" s="246">
        <f>'Evolució mensual_anys'!O81</f>
        <v>523</v>
      </c>
      <c r="G3" s="241"/>
      <c r="H3" s="241">
        <f>(D3-E3)/E3</f>
        <v>-0.67813765182186236</v>
      </c>
      <c r="I3" s="241">
        <f>(D3-F3)/F3</f>
        <v>-0.69598470363288722</v>
      </c>
    </row>
    <row r="4" spans="1:9" ht="15.75" thickBot="1" x14ac:dyDescent="0.3">
      <c r="A4" s="361"/>
      <c r="B4" s="82" t="s">
        <v>63</v>
      </c>
      <c r="C4" s="284"/>
      <c r="D4" s="284">
        <f>'Evolució mensual_anys'!O32</f>
        <v>4395</v>
      </c>
      <c r="E4" s="105">
        <f>'Evolució mensual_anys'!O59</f>
        <v>2935</v>
      </c>
      <c r="F4" s="105">
        <f>'Evolució mensual_anys'!O82</f>
        <v>5658</v>
      </c>
      <c r="G4" s="242"/>
      <c r="H4" s="242">
        <f>(D4-E4)/E4</f>
        <v>0.49744463373083475</v>
      </c>
      <c r="I4" s="242">
        <f>(D4-F4)/F4</f>
        <v>-0.22322375397667021</v>
      </c>
    </row>
    <row r="5" spans="1:9" ht="15.75" thickBot="1" x14ac:dyDescent="0.3">
      <c r="A5" s="234"/>
      <c r="B5" s="223"/>
      <c r="C5" s="228"/>
      <c r="D5" s="305">
        <f t="shared" ref="D5:F5" si="0">SUM(D3:D4)</f>
        <v>4554</v>
      </c>
      <c r="E5" s="230">
        <f t="shared" si="0"/>
        <v>3429</v>
      </c>
      <c r="F5" s="230">
        <f t="shared" si="0"/>
        <v>6181</v>
      </c>
      <c r="G5" s="243"/>
      <c r="H5" s="243">
        <f>(D5-E5)/E5</f>
        <v>0.32808398950131235</v>
      </c>
      <c r="I5" s="243">
        <f>(D5-F5)/F5</f>
        <v>-0.26322601520789518</v>
      </c>
    </row>
    <row r="6" spans="1:9" ht="15.75" thickBot="1" x14ac:dyDescent="0.3">
      <c r="A6" s="234"/>
      <c r="B6" s="221"/>
      <c r="C6" s="223"/>
      <c r="D6" s="244"/>
      <c r="E6" s="244"/>
      <c r="F6" s="244"/>
      <c r="G6" s="244"/>
      <c r="H6" s="245"/>
    </row>
    <row r="7" spans="1:9" ht="15.75" thickBot="1" x14ac:dyDescent="0.3">
      <c r="C7" s="238">
        <v>2022</v>
      </c>
      <c r="D7" s="238">
        <v>2021</v>
      </c>
      <c r="E7" s="236">
        <v>2020</v>
      </c>
      <c r="F7" s="237">
        <v>2019</v>
      </c>
      <c r="G7" s="293" t="s">
        <v>94</v>
      </c>
      <c r="H7" s="247" t="s">
        <v>77</v>
      </c>
      <c r="I7" s="247" t="s">
        <v>78</v>
      </c>
    </row>
    <row r="8" spans="1:9" ht="15.75" thickBot="1" x14ac:dyDescent="0.3">
      <c r="A8" s="357"/>
      <c r="B8" s="358"/>
      <c r="C8" s="302"/>
      <c r="D8" s="354"/>
      <c r="E8" s="355"/>
      <c r="F8" s="355"/>
      <c r="G8" s="355"/>
      <c r="H8" s="355"/>
      <c r="I8" s="356"/>
    </row>
    <row r="9" spans="1:9" x14ac:dyDescent="0.25">
      <c r="A9" s="359" t="s">
        <v>38</v>
      </c>
      <c r="B9" s="79" t="s">
        <v>35</v>
      </c>
      <c r="C9" s="285"/>
      <c r="D9" s="285">
        <f>'Evolució mensual_anys'!O36</f>
        <v>5005</v>
      </c>
      <c r="E9" s="285">
        <f>'Evolució mensual_anys'!O62</f>
        <v>3200</v>
      </c>
      <c r="F9" s="285">
        <f>'Evolució mensual_anys'!O85</f>
        <v>4462</v>
      </c>
      <c r="G9" s="241"/>
      <c r="H9" s="241">
        <f>(D9-E9)/E9</f>
        <v>0.56406250000000002</v>
      </c>
      <c r="I9" s="241">
        <f>(D9-F9)/D9</f>
        <v>0.10849150849150849</v>
      </c>
    </row>
    <row r="10" spans="1:9" x14ac:dyDescent="0.25">
      <c r="A10" s="360"/>
      <c r="B10" s="77" t="s">
        <v>53</v>
      </c>
      <c r="C10" s="104"/>
      <c r="D10" s="104">
        <f>'Evolució mensual_anys'!O37</f>
        <v>1124</v>
      </c>
      <c r="E10" s="104">
        <f>'Evolució mensual_anys'!O63</f>
        <v>805</v>
      </c>
      <c r="F10" s="104">
        <f>'Evolució mensual_anys'!O86</f>
        <v>2975</v>
      </c>
      <c r="G10" s="242"/>
      <c r="H10" s="242">
        <f>(D10-E10)/E10</f>
        <v>0.39627329192546584</v>
      </c>
      <c r="I10" s="242">
        <f t="shared" ref="I10:I15" si="1">(D10-F10)/D10</f>
        <v>-1.646797153024911</v>
      </c>
    </row>
    <row r="11" spans="1:9" x14ac:dyDescent="0.25">
      <c r="A11" s="360"/>
      <c r="B11" s="77" t="s">
        <v>36</v>
      </c>
      <c r="C11" s="104"/>
      <c r="D11" s="104">
        <f>'Evolució mensual_anys'!O38</f>
        <v>1501</v>
      </c>
      <c r="E11" s="104">
        <f>'Evolució mensual_anys'!O64</f>
        <v>866</v>
      </c>
      <c r="F11" s="91">
        <f>'Evolució mensual_anys'!O87</f>
        <v>1062</v>
      </c>
      <c r="G11" s="242"/>
      <c r="H11" s="242">
        <f>(D11-E11)/E11</f>
        <v>0.73325635103926101</v>
      </c>
      <c r="I11" s="242">
        <f t="shared" si="1"/>
        <v>0.29247168554297137</v>
      </c>
    </row>
    <row r="12" spans="1:9" x14ac:dyDescent="0.25">
      <c r="A12" s="360"/>
      <c r="B12" s="77" t="s">
        <v>37</v>
      </c>
      <c r="C12" s="104"/>
      <c r="D12" s="104">
        <f>'Evolució mensual_anys'!O39</f>
        <v>213</v>
      </c>
      <c r="E12" s="104">
        <f>'Evolució mensual_anys'!O65</f>
        <v>136</v>
      </c>
      <c r="F12" s="91">
        <f>'Evolució mensual_anys'!O88</f>
        <v>256</v>
      </c>
      <c r="G12" s="242"/>
      <c r="H12" s="242">
        <f>(D12-E12)/E12</f>
        <v>0.56617647058823528</v>
      </c>
      <c r="I12" s="242">
        <f t="shared" si="1"/>
        <v>-0.20187793427230047</v>
      </c>
    </row>
    <row r="13" spans="1:9" x14ac:dyDescent="0.25">
      <c r="A13" s="360"/>
      <c r="B13" s="77" t="s">
        <v>54</v>
      </c>
      <c r="C13" s="104"/>
      <c r="D13" s="104">
        <f>'Evolució mensual_anys'!O40</f>
        <v>1459</v>
      </c>
      <c r="E13" s="104">
        <f>'Evolució mensual_anys'!O66</f>
        <v>1675</v>
      </c>
      <c r="F13" s="104">
        <f>'Evolució mensual_anys'!O89</f>
        <v>6299</v>
      </c>
      <c r="G13" s="242"/>
      <c r="H13" s="242">
        <f>(D13-E13)/E13</f>
        <v>-0.12895522388059702</v>
      </c>
      <c r="I13" s="242">
        <f t="shared" si="1"/>
        <v>-3.3173406442769018</v>
      </c>
    </row>
    <row r="14" spans="1:9" x14ac:dyDescent="0.25">
      <c r="A14" s="360"/>
      <c r="B14" s="77" t="s">
        <v>71</v>
      </c>
      <c r="C14" s="104"/>
      <c r="D14" s="104">
        <f>'Evolució mensual_anys'!O41</f>
        <v>147</v>
      </c>
      <c r="E14" s="104">
        <v>0</v>
      </c>
      <c r="F14" s="286">
        <v>0</v>
      </c>
      <c r="G14" s="242"/>
      <c r="H14" s="242">
        <f>(D14-E14)/D14</f>
        <v>1</v>
      </c>
      <c r="I14" s="242">
        <f t="shared" si="1"/>
        <v>1</v>
      </c>
    </row>
    <row r="15" spans="1:9" ht="15.75" thickBot="1" x14ac:dyDescent="0.3">
      <c r="A15" s="361"/>
      <c r="B15" s="78" t="s">
        <v>40</v>
      </c>
      <c r="C15" s="104"/>
      <c r="D15" s="104">
        <f>'Evolució mensual_anys'!O42</f>
        <v>56</v>
      </c>
      <c r="E15" s="104">
        <f>'Evolució mensual_anys'!O67</f>
        <v>1442</v>
      </c>
      <c r="F15" s="286">
        <f>'Evolució mensual_anys'!O90</f>
        <v>883</v>
      </c>
      <c r="G15" s="242"/>
      <c r="H15" s="242">
        <f>(D15-E15)/E15</f>
        <v>-0.96116504854368934</v>
      </c>
      <c r="I15" s="242">
        <f t="shared" si="1"/>
        <v>-14.767857142857142</v>
      </c>
    </row>
    <row r="16" spans="1:9" ht="15.75" thickBot="1" x14ac:dyDescent="0.3">
      <c r="A16" s="222"/>
      <c r="B16" s="223"/>
      <c r="C16" s="228"/>
      <c r="D16" s="305">
        <f t="shared" ref="D16:F16" si="2">SUM(D9:D15)</f>
        <v>9505</v>
      </c>
      <c r="E16" s="230">
        <f t="shared" si="2"/>
        <v>8124</v>
      </c>
      <c r="F16" s="230">
        <f t="shared" si="2"/>
        <v>15937</v>
      </c>
      <c r="G16" s="239"/>
      <c r="H16" s="243">
        <f>(D16-E16)/E16</f>
        <v>0.16999015263417036</v>
      </c>
      <c r="I16" s="243">
        <f t="shared" ref="I16" si="3">(D16-F16)/F16</f>
        <v>-0.40358913220806925</v>
      </c>
    </row>
    <row r="17" spans="1:9" ht="15.75" thickBot="1" x14ac:dyDescent="0.3"/>
    <row r="18" spans="1:9" ht="15.75" thickBot="1" x14ac:dyDescent="0.3">
      <c r="C18" s="238">
        <v>2022</v>
      </c>
      <c r="D18" s="238">
        <v>2021</v>
      </c>
      <c r="E18" s="236">
        <v>2020</v>
      </c>
      <c r="F18" s="237">
        <v>2019</v>
      </c>
      <c r="G18" s="293" t="s">
        <v>94</v>
      </c>
      <c r="H18" s="247" t="s">
        <v>77</v>
      </c>
      <c r="I18" s="247" t="s">
        <v>78</v>
      </c>
    </row>
    <row r="19" spans="1:9" ht="15.75" thickBot="1" x14ac:dyDescent="0.3">
      <c r="A19" s="357"/>
      <c r="B19" s="358"/>
      <c r="C19" s="302"/>
      <c r="D19" s="354"/>
      <c r="E19" s="355"/>
      <c r="F19" s="355"/>
      <c r="G19" s="355"/>
      <c r="H19" s="355"/>
      <c r="I19" s="356"/>
    </row>
    <row r="20" spans="1:9" x14ac:dyDescent="0.25">
      <c r="A20" s="359" t="s">
        <v>39</v>
      </c>
      <c r="B20" s="79" t="s">
        <v>35</v>
      </c>
      <c r="C20" s="102"/>
      <c r="D20" s="102">
        <f>'Evolució mensual_anys'!O46</f>
        <v>14381.97</v>
      </c>
      <c r="E20" s="102">
        <f>'Evolució mensual_anys'!O70</f>
        <v>7793</v>
      </c>
      <c r="F20" s="287">
        <f>'Evolució mensual_anys'!O93</f>
        <v>9708</v>
      </c>
      <c r="G20" s="241"/>
      <c r="H20" s="241">
        <f>(D20-E20)/E20</f>
        <v>0.84549852431669437</v>
      </c>
      <c r="I20" s="241">
        <f>(D20-F20)/F20</f>
        <v>0.48145550061804693</v>
      </c>
    </row>
    <row r="21" spans="1:9" x14ac:dyDescent="0.25">
      <c r="A21" s="360"/>
      <c r="B21" s="77" t="s">
        <v>53</v>
      </c>
      <c r="C21" s="75"/>
      <c r="D21" s="75">
        <f>'Evolució mensual_anys'!O47</f>
        <v>5549.1799999999994</v>
      </c>
      <c r="E21" s="75">
        <f>'Evolució mensual_anys'!O71</f>
        <v>3166</v>
      </c>
      <c r="F21" s="287">
        <f>'Evolució mensual_anys'!O94</f>
        <v>6709</v>
      </c>
      <c r="G21" s="242"/>
      <c r="H21" s="242">
        <f>(D21-E21)/E21</f>
        <v>0.75274162981680337</v>
      </c>
      <c r="I21" s="242">
        <f t="shared" ref="I21:I28" si="4">(D21-F21)/F21</f>
        <v>-0.17287524221195419</v>
      </c>
    </row>
    <row r="22" spans="1:9" x14ac:dyDescent="0.25">
      <c r="A22" s="360"/>
      <c r="B22" s="77" t="s">
        <v>36</v>
      </c>
      <c r="C22" s="32"/>
      <c r="D22" s="32">
        <f>'Evolució mensual_anys'!O48</f>
        <v>3990.2100000000005</v>
      </c>
      <c r="E22" s="32">
        <f>'Evolució mensual_anys'!O72</f>
        <v>2292.5</v>
      </c>
      <c r="F22" s="287">
        <f>'Evolució mensual_anys'!O95</f>
        <v>2798</v>
      </c>
      <c r="G22" s="242"/>
      <c r="H22" s="242">
        <f>(D22-E22)/E22</f>
        <v>0.74054961832061095</v>
      </c>
      <c r="I22" s="242">
        <f t="shared" si="4"/>
        <v>0.42609363831308095</v>
      </c>
    </row>
    <row r="23" spans="1:9" x14ac:dyDescent="0.25">
      <c r="A23" s="360"/>
      <c r="B23" s="77" t="s">
        <v>37</v>
      </c>
      <c r="C23" s="32"/>
      <c r="D23" s="32">
        <f>'Evolució mensual_anys'!O49</f>
        <v>245.5</v>
      </c>
      <c r="E23" s="32">
        <f>'Evolució mensual_anys'!O73</f>
        <v>235.5</v>
      </c>
      <c r="F23" s="287">
        <f>'Evolució mensual_anys'!O96</f>
        <v>423.5</v>
      </c>
      <c r="G23" s="242"/>
      <c r="H23" s="242">
        <f>(D23-E23)/E23</f>
        <v>4.2462845010615709E-2</v>
      </c>
      <c r="I23" s="242">
        <f t="shared" si="4"/>
        <v>-0.42030696576151122</v>
      </c>
    </row>
    <row r="24" spans="1:9" x14ac:dyDescent="0.25">
      <c r="A24" s="360"/>
      <c r="B24" s="77" t="s">
        <v>54</v>
      </c>
      <c r="C24" s="32"/>
      <c r="D24" s="32">
        <f>'Evolució mensual_anys'!O50</f>
        <v>7145.5499999999993</v>
      </c>
      <c r="E24" s="32">
        <f>'Evolució mensual_anys'!O74</f>
        <v>5763.5</v>
      </c>
      <c r="F24" s="287">
        <f>'Evolució mensual_anys'!O97</f>
        <v>18157.55</v>
      </c>
      <c r="G24" s="242"/>
      <c r="H24" s="242">
        <f>(D24-E24)/E24</f>
        <v>0.23979352823804967</v>
      </c>
      <c r="I24" s="242">
        <f>(D24-F24)/D24</f>
        <v>-1.5410990056748608</v>
      </c>
    </row>
    <row r="25" spans="1:9" x14ac:dyDescent="0.25">
      <c r="A25" s="360"/>
      <c r="B25" s="77" t="s">
        <v>71</v>
      </c>
      <c r="C25" s="32"/>
      <c r="D25" s="32">
        <f>'Evolució mensual_anys'!O51</f>
        <v>687</v>
      </c>
      <c r="E25" s="255">
        <v>0</v>
      </c>
      <c r="F25" s="288">
        <v>0</v>
      </c>
      <c r="G25" s="242"/>
      <c r="H25" s="242">
        <v>1</v>
      </c>
      <c r="I25" s="242">
        <f>(D25-F25)/D25</f>
        <v>1</v>
      </c>
    </row>
    <row r="26" spans="1:9" x14ac:dyDescent="0.25">
      <c r="A26" s="360"/>
      <c r="B26" s="77" t="s">
        <v>61</v>
      </c>
      <c r="C26" s="32"/>
      <c r="D26" s="32">
        <f>'Evolució mensual_anys'!O52</f>
        <v>556.6</v>
      </c>
      <c r="E26" s="32">
        <f>'Evolució mensual_anys'!O75</f>
        <v>271.60000000000002</v>
      </c>
      <c r="F26" s="287">
        <f>'Evolució mensual_anys'!O98</f>
        <v>801.7</v>
      </c>
      <c r="G26" s="242"/>
      <c r="H26" s="242">
        <f>(D26-E26)/E26</f>
        <v>1.0493372606774667</v>
      </c>
      <c r="I26" s="242">
        <f>(D26-F26)/F26</f>
        <v>-0.30572533366595983</v>
      </c>
    </row>
    <row r="27" spans="1:9" ht="15.75" thickBot="1" x14ac:dyDescent="0.3">
      <c r="A27" s="361"/>
      <c r="B27" s="78" t="s">
        <v>58</v>
      </c>
      <c r="C27" s="32"/>
      <c r="D27" s="32">
        <f>'Evolució mensual_anys'!O53</f>
        <v>1231.58</v>
      </c>
      <c r="E27" s="100">
        <f>'Evolució mensual_anys'!O76</f>
        <v>646.95000000000005</v>
      </c>
      <c r="F27" s="289">
        <f>'Evolució mensual_anys'!O99</f>
        <v>2822.7499999999995</v>
      </c>
      <c r="G27" s="242"/>
      <c r="H27" s="242">
        <f>(D27-E27)/D27</f>
        <v>0.47469916692378888</v>
      </c>
      <c r="I27" s="242">
        <f>(D27-F27)/D27</f>
        <v>-1.2919745367739</v>
      </c>
    </row>
    <row r="28" spans="1:9" ht="15.75" thickBot="1" x14ac:dyDescent="0.3">
      <c r="A28" s="222"/>
      <c r="B28" s="223"/>
      <c r="C28" s="227"/>
      <c r="D28" s="227">
        <f t="shared" ref="D28" si="5">SUM(D20:D27)</f>
        <v>33787.589999999997</v>
      </c>
      <c r="E28" s="232">
        <f>SUM(E20:E27)</f>
        <v>20169.05</v>
      </c>
      <c r="F28" s="232">
        <f>SUM(F20:F27)</f>
        <v>41420.5</v>
      </c>
      <c r="G28" s="232"/>
      <c r="H28" s="243">
        <f>(D28-E28)/E28</f>
        <v>0.67521970543977028</v>
      </c>
      <c r="I28" s="243">
        <f t="shared" si="4"/>
        <v>-0.18427855771900395</v>
      </c>
    </row>
  </sheetData>
  <mergeCells count="9">
    <mergeCell ref="D2:I2"/>
    <mergeCell ref="A19:B19"/>
    <mergeCell ref="A20:A27"/>
    <mergeCell ref="A2:B2"/>
    <mergeCell ref="A3:A4"/>
    <mergeCell ref="A8:B8"/>
    <mergeCell ref="A9:A15"/>
    <mergeCell ref="D8:I8"/>
    <mergeCell ref="D19:I19"/>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topLeftCell="B1" workbookViewId="0">
      <selection activeCell="L35" sqref="L35"/>
    </sheetView>
  </sheetViews>
  <sheetFormatPr defaultColWidth="11.42578125" defaultRowHeight="15" x14ac:dyDescent="0.25"/>
  <cols>
    <col min="1" max="1" width="19.85546875" bestFit="1" customWidth="1"/>
    <col min="2" max="2" width="20.7109375" bestFit="1" customWidth="1"/>
    <col min="3" max="3" width="12" bestFit="1" customWidth="1"/>
    <col min="4" max="4" width="9.28515625" bestFit="1" customWidth="1"/>
    <col min="5" max="5" width="9.28515625" customWidth="1"/>
    <col min="6" max="6" width="12" bestFit="1" customWidth="1"/>
    <col min="7" max="7" width="9.28515625" bestFit="1" customWidth="1"/>
    <col min="8" max="8" width="9.28515625" customWidth="1"/>
    <col min="9" max="9" width="12" bestFit="1" customWidth="1"/>
    <col min="10" max="10" width="9.28515625" bestFit="1" customWidth="1"/>
    <col min="11" max="11" width="9.42578125" customWidth="1"/>
    <col min="12" max="12" width="14" customWidth="1"/>
    <col min="13" max="13" width="9.28515625" bestFit="1" customWidth="1"/>
    <col min="14" max="14" width="7.5703125" bestFit="1" customWidth="1"/>
    <col min="15" max="15" width="12" bestFit="1" customWidth="1"/>
  </cols>
  <sheetData>
    <row r="1" spans="1:16" x14ac:dyDescent="0.25">
      <c r="A1" s="373"/>
      <c r="B1" s="374"/>
      <c r="C1" s="371">
        <v>2018</v>
      </c>
      <c r="D1" s="372"/>
      <c r="E1" s="371">
        <v>2019</v>
      </c>
      <c r="F1" s="378"/>
      <c r="G1" s="372"/>
      <c r="H1" s="371">
        <v>2020</v>
      </c>
      <c r="I1" s="378"/>
      <c r="J1" s="372"/>
      <c r="K1" s="371">
        <v>2021</v>
      </c>
      <c r="L1" s="378"/>
      <c r="M1" s="372"/>
      <c r="N1" s="371">
        <v>2022</v>
      </c>
      <c r="O1" s="378"/>
      <c r="P1" s="372"/>
    </row>
    <row r="2" spans="1:16" ht="15.75" thickBot="1" x14ac:dyDescent="0.3">
      <c r="A2" s="375"/>
      <c r="B2" s="376"/>
      <c r="C2" s="130" t="s">
        <v>64</v>
      </c>
      <c r="D2" s="131" t="s">
        <v>65</v>
      </c>
      <c r="E2" s="130" t="s">
        <v>67</v>
      </c>
      <c r="F2" s="31" t="s">
        <v>64</v>
      </c>
      <c r="G2" s="131" t="s">
        <v>65</v>
      </c>
      <c r="H2" s="130" t="s">
        <v>67</v>
      </c>
      <c r="I2" s="31" t="s">
        <v>64</v>
      </c>
      <c r="J2" s="131" t="s">
        <v>65</v>
      </c>
      <c r="K2" s="130" t="s">
        <v>67</v>
      </c>
      <c r="L2" s="31" t="s">
        <v>64</v>
      </c>
      <c r="M2" s="131" t="s">
        <v>65</v>
      </c>
      <c r="N2" s="130" t="s">
        <v>67</v>
      </c>
      <c r="O2" s="290" t="s">
        <v>64</v>
      </c>
      <c r="P2" s="131" t="s">
        <v>65</v>
      </c>
    </row>
    <row r="3" spans="1:16" x14ac:dyDescent="0.25">
      <c r="A3" s="377" t="s">
        <v>56</v>
      </c>
      <c r="B3" s="80" t="s">
        <v>55</v>
      </c>
      <c r="C3" s="135">
        <f>'Evolució mensual_anys'!O104</f>
        <v>79</v>
      </c>
      <c r="D3" s="117">
        <f>'Evolució mensual_anys'!P104</f>
        <v>1.9235451667884099E-2</v>
      </c>
      <c r="E3" s="142">
        <f>(F3-C3)/C3</f>
        <v>5.6202531645569618</v>
      </c>
      <c r="F3" s="116">
        <f>'Evolució mensual_anys'!O81</f>
        <v>523</v>
      </c>
      <c r="G3" s="117">
        <f>'Evolució mensual_anys'!P81</f>
        <v>8.461414010677884E-2</v>
      </c>
      <c r="H3" s="142">
        <f>(I3-F3)/F3</f>
        <v>-5.5449330783938815E-2</v>
      </c>
      <c r="I3" s="116">
        <f>'Evolució mensual_anys'!O58</f>
        <v>494</v>
      </c>
      <c r="J3" s="117">
        <f>'Evolució mensual_anys'!P58</f>
        <v>0.14406532516768739</v>
      </c>
      <c r="K3" s="142">
        <f>(L3-I3)/I3</f>
        <v>-0.67813765182186236</v>
      </c>
      <c r="L3" s="190">
        <f>'Evolució mensual_anys'!O31</f>
        <v>159</v>
      </c>
      <c r="M3" s="194">
        <f>'Evolució mensual_anys'!P31</f>
        <v>3.491436100131752E-2</v>
      </c>
      <c r="N3" s="142">
        <f>(O3-L3)/L3</f>
        <v>5.0880503144654092</v>
      </c>
      <c r="O3" s="297">
        <f>'Evolució mensual_anys'!O3</f>
        <v>968</v>
      </c>
      <c r="P3" s="194">
        <f>'Evolució mensual_anys'!P3</f>
        <v>0.18636888717751252</v>
      </c>
    </row>
    <row r="4" spans="1:16" ht="15.75" thickBot="1" x14ac:dyDescent="0.3">
      <c r="A4" s="370"/>
      <c r="B4" s="82" t="s">
        <v>63</v>
      </c>
      <c r="C4" s="136">
        <f>'Evolució mensual_anys'!O105</f>
        <v>4028</v>
      </c>
      <c r="D4" s="114">
        <f>'Evolució mensual_anys'!P105</f>
        <v>0.9807645483321159</v>
      </c>
      <c r="E4" s="143">
        <f>(F4-C4)/C4</f>
        <v>0.40466732869910627</v>
      </c>
      <c r="F4" s="118">
        <f>'Evolució mensual_anys'!O82</f>
        <v>5658</v>
      </c>
      <c r="G4" s="114">
        <f>'Evolució mensual_anys'!P82</f>
        <v>0.91538585989322119</v>
      </c>
      <c r="H4" s="143">
        <f>(I4-F4)/F4</f>
        <v>-0.48126546482856131</v>
      </c>
      <c r="I4" s="118">
        <f>'Evolució mensual_anys'!O59</f>
        <v>2935</v>
      </c>
      <c r="J4" s="114">
        <f>'Evolució mensual_anys'!P59</f>
        <v>0.85593467483231267</v>
      </c>
      <c r="K4" s="143">
        <f>(L4-I4)/I4</f>
        <v>0.49744463373083475</v>
      </c>
      <c r="L4" s="83">
        <f>'Evolució mensual_anys'!O32</f>
        <v>4395</v>
      </c>
      <c r="M4" s="195">
        <f>'Evolució mensual_anys'!P32</f>
        <v>0.96508563899868249</v>
      </c>
      <c r="N4" s="143">
        <f>(O4-L4)/L4</f>
        <v>-3.8452787258248008E-2</v>
      </c>
      <c r="O4" s="83">
        <f>'Evolució mensual_anys'!O4</f>
        <v>4226</v>
      </c>
      <c r="P4" s="195">
        <f>'Evolució mensual_anys'!P4</f>
        <v>0.81363111282248746</v>
      </c>
    </row>
    <row r="5" spans="1:16" x14ac:dyDescent="0.25">
      <c r="A5" s="203"/>
      <c r="B5" s="215"/>
      <c r="C5" s="108">
        <f>SUM(C3:C4)</f>
        <v>4107</v>
      </c>
      <c r="D5" s="109"/>
      <c r="E5" s="109"/>
      <c r="F5" s="108">
        <f>SUM(F3:F4)</f>
        <v>6181</v>
      </c>
      <c r="G5" s="109"/>
      <c r="H5" s="109"/>
      <c r="I5" s="108">
        <f>SUM(I3:I4)</f>
        <v>3429</v>
      </c>
      <c r="J5" s="109"/>
      <c r="K5" s="109"/>
      <c r="L5" s="108">
        <f>SUM(L3:L4)</f>
        <v>4554</v>
      </c>
      <c r="M5" s="216"/>
      <c r="N5" s="109"/>
      <c r="O5" s="108">
        <f>SUM(O3:O4)</f>
        <v>5194</v>
      </c>
      <c r="P5" s="216"/>
    </row>
    <row r="6" spans="1:16" ht="15.75" thickBot="1" x14ac:dyDescent="0.3">
      <c r="A6" s="364"/>
      <c r="B6" s="365"/>
      <c r="C6" s="365"/>
      <c r="D6" s="365"/>
      <c r="E6" s="365"/>
      <c r="F6" s="365"/>
      <c r="G6" s="365"/>
      <c r="H6" s="365"/>
      <c r="I6" s="365"/>
      <c r="J6" s="365"/>
      <c r="K6" s="365"/>
      <c r="L6" s="365"/>
      <c r="M6" s="365"/>
      <c r="N6" s="365"/>
      <c r="O6" s="365"/>
      <c r="P6" s="365"/>
    </row>
    <row r="7" spans="1:16" x14ac:dyDescent="0.25">
      <c r="A7" s="359" t="s">
        <v>38</v>
      </c>
      <c r="B7" s="132" t="s">
        <v>35</v>
      </c>
      <c r="C7" s="135">
        <f>'Evolució mensual_anys'!O108</f>
        <v>1736</v>
      </c>
      <c r="D7" s="117">
        <f>'Evolució mensual_anys'!P108</f>
        <v>0.1467455621301775</v>
      </c>
      <c r="E7" s="142">
        <f>(F7-C7)/C7</f>
        <v>1.5702764976958525</v>
      </c>
      <c r="F7" s="116">
        <f>'Evolució mensual_anys'!O85</f>
        <v>4462</v>
      </c>
      <c r="G7" s="117">
        <f>'Evolució mensual_anys'!P85</f>
        <v>0.27997741105603313</v>
      </c>
      <c r="H7" s="142">
        <f t="shared" ref="H7:H13" si="0">(I7-F7)/F7</f>
        <v>-0.28283281039892427</v>
      </c>
      <c r="I7" s="116">
        <f>'Evolució mensual_anys'!O62</f>
        <v>3200</v>
      </c>
      <c r="J7" s="117">
        <f>'Evolució mensual_anys'!P62</f>
        <v>0.39389463318562284</v>
      </c>
      <c r="K7" s="142">
        <f t="shared" ref="K7:K13" si="1">(L7-I7)/I7</f>
        <v>0.56406250000000002</v>
      </c>
      <c r="L7" s="190">
        <f>'Evolució mensual_anys'!O36</f>
        <v>5005</v>
      </c>
      <c r="M7" s="194">
        <f>'Evolució mensual_anys'!P36</f>
        <v>0.5265649658074697</v>
      </c>
      <c r="N7" s="142">
        <f t="shared" ref="N7:N11" si="2">(O7-L7)/L7</f>
        <v>5.0349650349650353E-2</v>
      </c>
      <c r="O7" s="297">
        <f>'Evolució mensual_anys'!O8</f>
        <v>5257</v>
      </c>
      <c r="P7" s="194">
        <f>'Evolució mensual_anys'!P8</f>
        <v>0.45554592720970538</v>
      </c>
    </row>
    <row r="8" spans="1:16" x14ac:dyDescent="0.25">
      <c r="A8" s="360"/>
      <c r="B8" s="133" t="s">
        <v>53</v>
      </c>
      <c r="C8" s="138">
        <f>'Evolució mensual_anys'!O109</f>
        <v>2840</v>
      </c>
      <c r="D8" s="110">
        <f>'Evolució mensual_anys'!P109</f>
        <v>0.2400676246830093</v>
      </c>
      <c r="E8" s="144">
        <f t="shared" ref="E8:E24" si="3">(F8-C8)/C8</f>
        <v>4.7535211267605633E-2</v>
      </c>
      <c r="F8" s="108">
        <f>'Evolució mensual_anys'!O86</f>
        <v>2975</v>
      </c>
      <c r="G8" s="110">
        <f>'Evolució mensual_anys'!P86</f>
        <v>0.18667252305954696</v>
      </c>
      <c r="H8" s="144">
        <f t="shared" si="0"/>
        <v>-0.72941176470588232</v>
      </c>
      <c r="I8" s="108">
        <f>'Evolució mensual_anys'!O63</f>
        <v>805</v>
      </c>
      <c r="J8" s="110">
        <f>'Evolució mensual_anys'!P63</f>
        <v>9.9089118660758244E-2</v>
      </c>
      <c r="K8" s="144">
        <f t="shared" si="1"/>
        <v>0.39627329192546584</v>
      </c>
      <c r="L8" s="191">
        <f>'Evolució mensual_anys'!O37</f>
        <v>1124</v>
      </c>
      <c r="M8" s="196">
        <f>'Evolució mensual_anys'!P37</f>
        <v>0.11825355076275644</v>
      </c>
      <c r="N8" s="144">
        <f t="shared" si="2"/>
        <v>0.28914590747330959</v>
      </c>
      <c r="O8" s="346">
        <f>'Evolució mensual_anys'!O9</f>
        <v>1449</v>
      </c>
      <c r="P8" s="196">
        <f>'Evolució mensual_anys'!P9</f>
        <v>0.12556325823223571</v>
      </c>
    </row>
    <row r="9" spans="1:16" x14ac:dyDescent="0.25">
      <c r="A9" s="360"/>
      <c r="B9" s="133" t="s">
        <v>36</v>
      </c>
      <c r="C9" s="138">
        <f>'Evolució mensual_anys'!O110</f>
        <v>822</v>
      </c>
      <c r="D9" s="110">
        <f>'Evolució mensual_anys'!P110</f>
        <v>6.9484361792054097E-2</v>
      </c>
      <c r="E9" s="144">
        <f t="shared" si="3"/>
        <v>0.29197080291970801</v>
      </c>
      <c r="F9" s="108">
        <f>'Evolució mensual_anys'!O87</f>
        <v>1062</v>
      </c>
      <c r="G9" s="110">
        <f>'Evolució mensual_anys'!P87</f>
        <v>6.6637384702265171E-2</v>
      </c>
      <c r="H9" s="144">
        <f t="shared" si="0"/>
        <v>-0.18455743879472694</v>
      </c>
      <c r="I9" s="108">
        <f>'Evolució mensual_anys'!O64</f>
        <v>866</v>
      </c>
      <c r="J9" s="110">
        <f>'Evolució mensual_anys'!P64</f>
        <v>0.10659773510585918</v>
      </c>
      <c r="K9" s="144">
        <f t="shared" si="1"/>
        <v>0.73325635103926101</v>
      </c>
      <c r="L9" s="191">
        <f>'Evolució mensual_anys'!O38</f>
        <v>1501</v>
      </c>
      <c r="M9" s="196">
        <f>'Evolució mensual_anys'!P38</f>
        <v>0.15791688584955288</v>
      </c>
      <c r="N9" s="144">
        <f t="shared" si="2"/>
        <v>-7.9280479680213192E-2</v>
      </c>
      <c r="O9" s="346">
        <f>'Evolució mensual_anys'!O10</f>
        <v>1382</v>
      </c>
      <c r="P9" s="196">
        <f>'Evolució mensual_anys'!P10</f>
        <v>0.11975736568457539</v>
      </c>
    </row>
    <row r="10" spans="1:16" x14ac:dyDescent="0.25">
      <c r="A10" s="360"/>
      <c r="B10" s="133" t="s">
        <v>37</v>
      </c>
      <c r="C10" s="138">
        <f>'Evolució mensual_anys'!O111</f>
        <v>325</v>
      </c>
      <c r="D10" s="110">
        <f>'Evolució mensual_anys'!P111</f>
        <v>2.7472527472527472E-2</v>
      </c>
      <c r="E10" s="144">
        <f t="shared" si="3"/>
        <v>-0.21230769230769231</v>
      </c>
      <c r="F10" s="108">
        <f>'Evolució mensual_anys'!O88</f>
        <v>256</v>
      </c>
      <c r="G10" s="110">
        <f>'Evolució mensual_anys'!P88</f>
        <v>1.6063249043107235E-2</v>
      </c>
      <c r="H10" s="144">
        <f t="shared" si="0"/>
        <v>-0.46875</v>
      </c>
      <c r="I10" s="108">
        <f>'Evolució mensual_anys'!O65</f>
        <v>136</v>
      </c>
      <c r="J10" s="110">
        <f>'Evolució mensual_anys'!P65</f>
        <v>1.674052191038897E-2</v>
      </c>
      <c r="K10" s="144">
        <f t="shared" si="1"/>
        <v>0.56617647058823528</v>
      </c>
      <c r="L10" s="191">
        <f>'Evolució mensual_anys'!O39</f>
        <v>213</v>
      </c>
      <c r="M10" s="196">
        <f>'Evolució mensual_anys'!P39</f>
        <v>2.2409258285113098E-2</v>
      </c>
      <c r="N10" s="144">
        <f t="shared" si="2"/>
        <v>-0.41314553990610331</v>
      </c>
      <c r="O10" s="346">
        <f>'Evolució mensual_anys'!O11</f>
        <v>125</v>
      </c>
      <c r="P10" s="196">
        <f>'Evolució mensual_anys'!P11</f>
        <v>1.0831889081455806E-2</v>
      </c>
    </row>
    <row r="11" spans="1:16" x14ac:dyDescent="0.25">
      <c r="A11" s="360"/>
      <c r="B11" s="133" t="s">
        <v>54</v>
      </c>
      <c r="C11" s="138">
        <f>'Evolució mensual_anys'!O112</f>
        <v>6107</v>
      </c>
      <c r="D11" s="110">
        <f>'Evolució mensual_anys'!P112</f>
        <v>0.51622992392223166</v>
      </c>
      <c r="E11" s="144">
        <f t="shared" si="3"/>
        <v>3.1439331914196823E-2</v>
      </c>
      <c r="F11" s="108">
        <f>'Evolució mensual_anys'!O89</f>
        <v>6299</v>
      </c>
      <c r="G11" s="110">
        <f>'Evolució mensual_anys'!P89</f>
        <v>0.39524377235364244</v>
      </c>
      <c r="H11" s="144">
        <f t="shared" si="0"/>
        <v>-0.73408477536116845</v>
      </c>
      <c r="I11" s="108">
        <f>'Evolució mensual_anys'!O66</f>
        <v>1675</v>
      </c>
      <c r="J11" s="110">
        <f>'Evolució mensual_anys'!P66</f>
        <v>0.20617922205809947</v>
      </c>
      <c r="K11" s="144">
        <f t="shared" si="1"/>
        <v>-0.12895522388059702</v>
      </c>
      <c r="L11" s="191">
        <f>'Evolució mensual_anys'!O40</f>
        <v>1459</v>
      </c>
      <c r="M11" s="196">
        <f>'Evolució mensual_anys'!P40</f>
        <v>0.15349815886375592</v>
      </c>
      <c r="N11" s="144">
        <f t="shared" si="2"/>
        <v>-0.86291980808773128</v>
      </c>
      <c r="O11" s="346">
        <f>'Evolució mensual_anys'!O12</f>
        <v>200</v>
      </c>
      <c r="P11" s="196">
        <f>'Evolució mensual_anys'!P12</f>
        <v>1.7331022530329289E-2</v>
      </c>
    </row>
    <row r="12" spans="1:16" x14ac:dyDescent="0.25">
      <c r="A12" s="360"/>
      <c r="B12" s="77" t="s">
        <v>71</v>
      </c>
      <c r="C12" s="138"/>
      <c r="D12" s="110"/>
      <c r="E12" s="144"/>
      <c r="F12" s="108"/>
      <c r="G12" s="110"/>
      <c r="H12" s="144"/>
      <c r="I12" s="108"/>
      <c r="J12" s="110"/>
      <c r="K12" s="144"/>
      <c r="L12" s="191">
        <f>'Evolució mensual_anys'!O41</f>
        <v>147</v>
      </c>
      <c r="M12" s="196">
        <f>'Evolució mensual_anys'!P41</f>
        <v>1.5465544450289321E-2</v>
      </c>
      <c r="N12" s="144"/>
      <c r="O12" s="346">
        <f>'Evolució mensual_anys'!O13</f>
        <v>3074</v>
      </c>
      <c r="P12" s="196">
        <f>'Evolució mensual_anys'!P13</f>
        <v>0.2663778162911612</v>
      </c>
    </row>
    <row r="13" spans="1:16" ht="15.75" thickBot="1" x14ac:dyDescent="0.3">
      <c r="A13" s="361"/>
      <c r="B13" s="134" t="s">
        <v>98</v>
      </c>
      <c r="C13" s="136">
        <f>'Evolució mensual_anys'!O113</f>
        <v>0</v>
      </c>
      <c r="D13" s="114">
        <f>'Evolució mensual_anys'!P113</f>
        <v>0</v>
      </c>
      <c r="E13" s="143"/>
      <c r="F13" s="118">
        <f>'Evolució mensual_anys'!O90</f>
        <v>883</v>
      </c>
      <c r="G13" s="114">
        <f>'Evolució mensual_anys'!P90</f>
        <v>5.5405659785405036E-2</v>
      </c>
      <c r="H13" s="143">
        <f t="shared" si="0"/>
        <v>0.63306908267270667</v>
      </c>
      <c r="I13" s="118">
        <f>'Evolució mensual_anys'!O67</f>
        <v>1442</v>
      </c>
      <c r="J13" s="114">
        <f>'Evolució mensual_anys'!P67</f>
        <v>0.17749876907927128</v>
      </c>
      <c r="K13" s="143">
        <f t="shared" si="1"/>
        <v>-0.96116504854368934</v>
      </c>
      <c r="L13" s="83">
        <f>'Evolució mensual_anys'!O42</f>
        <v>56</v>
      </c>
      <c r="M13" s="195">
        <f>'Evolució mensual_anys'!P42</f>
        <v>5.8916359810625984E-3</v>
      </c>
      <c r="N13" s="143">
        <f t="shared" ref="N13" si="4">(O13-L13)/L13</f>
        <v>-5.3571428571428568E-2</v>
      </c>
      <c r="O13" s="83">
        <f>'Evolució mensual_anys'!O14</f>
        <v>53</v>
      </c>
      <c r="P13" s="195">
        <f>'Evolució mensual_anys'!P14</f>
        <v>4.5927209705372615E-3</v>
      </c>
    </row>
    <row r="14" spans="1:16" x14ac:dyDescent="0.25">
      <c r="A14" s="203"/>
      <c r="B14" s="223"/>
      <c r="C14" s="108">
        <f>SUM(C7:C13)</f>
        <v>11830</v>
      </c>
      <c r="D14" s="109"/>
      <c r="E14" s="109"/>
      <c r="F14" s="108">
        <f>SUM(F7:F13)</f>
        <v>15937</v>
      </c>
      <c r="G14" s="109"/>
      <c r="H14" s="109"/>
      <c r="I14" s="108">
        <f>SUM(I7:I13)</f>
        <v>8124</v>
      </c>
      <c r="J14" s="109"/>
      <c r="K14" s="109"/>
      <c r="L14" s="108">
        <f>SUM(L7:L13)</f>
        <v>9505</v>
      </c>
      <c r="M14" s="216"/>
      <c r="N14" s="109"/>
      <c r="O14" s="108">
        <f>SUM(O7:O13)</f>
        <v>11540</v>
      </c>
      <c r="P14" s="347"/>
    </row>
    <row r="15" spans="1:16" ht="15.75" thickBot="1" x14ac:dyDescent="0.3">
      <c r="A15" s="364"/>
      <c r="B15" s="365"/>
      <c r="C15" s="365"/>
      <c r="D15" s="365"/>
      <c r="E15" s="365"/>
      <c r="F15" s="365"/>
      <c r="G15" s="365"/>
      <c r="H15" s="365"/>
      <c r="I15" s="365"/>
      <c r="J15" s="365"/>
      <c r="K15" s="365"/>
      <c r="L15" s="365"/>
      <c r="M15" s="365"/>
      <c r="N15" s="365"/>
      <c r="O15" s="365"/>
      <c r="P15" s="365"/>
    </row>
    <row r="16" spans="1:16" x14ac:dyDescent="0.25">
      <c r="A16" s="359" t="s">
        <v>39</v>
      </c>
      <c r="B16" s="132" t="s">
        <v>35</v>
      </c>
      <c r="C16" s="139">
        <f>'Evolució mensual_anys'!O116</f>
        <v>3831</v>
      </c>
      <c r="D16" s="117">
        <f>'Evolució mensual_anys'!P116</f>
        <v>0.12540734472616449</v>
      </c>
      <c r="E16" s="142">
        <f t="shared" si="3"/>
        <v>1.534064212999217</v>
      </c>
      <c r="F16" s="145">
        <f>'Evolució mensual_anys'!O93</f>
        <v>9708</v>
      </c>
      <c r="G16" s="117">
        <f>'Evolució mensual_anys'!P93</f>
        <v>0.23900262932435226</v>
      </c>
      <c r="H16" s="142">
        <f>(I16-F16)/F16</f>
        <v>-0.19725999175937373</v>
      </c>
      <c r="I16" s="145">
        <f>'Evolució mensual_anys'!O70</f>
        <v>7793</v>
      </c>
      <c r="J16" s="115">
        <f>'Evolució mensual_anys'!P70</f>
        <v>0.38638408849202122</v>
      </c>
      <c r="K16" s="142">
        <f>(L16-I16)/I16</f>
        <v>0.84549852431669437</v>
      </c>
      <c r="L16" s="145">
        <f>'Evolució mensual_anys'!O46</f>
        <v>14381.97</v>
      </c>
      <c r="M16" s="194">
        <f>'Evolució mensual_anys'!P46</f>
        <v>0.42565835562702165</v>
      </c>
      <c r="N16" s="142">
        <f>(O16-L16)/L16</f>
        <v>0.10865131828254411</v>
      </c>
      <c r="O16" s="145">
        <f>'Evolució mensual_anys'!O18</f>
        <v>15944.59</v>
      </c>
      <c r="P16" s="194">
        <f>'Evolució mensual_anys'!P18</f>
        <v>0.36678403904366402</v>
      </c>
    </row>
    <row r="17" spans="1:16" x14ac:dyDescent="0.25">
      <c r="A17" s="360"/>
      <c r="B17" s="133" t="s">
        <v>53</v>
      </c>
      <c r="C17" s="140">
        <f>'Evolució mensual_anys'!O117</f>
        <v>5595</v>
      </c>
      <c r="D17" s="110">
        <f>'Evolució mensual_anys'!P117</f>
        <v>0.18315168200023241</v>
      </c>
      <c r="E17" s="144">
        <f t="shared" si="3"/>
        <v>0.19910634495084897</v>
      </c>
      <c r="F17" s="32">
        <f>'Evolució mensual_anys'!O94</f>
        <v>6709</v>
      </c>
      <c r="G17" s="110">
        <f>'Evolució mensual_anys'!P94</f>
        <v>0.16516982284065507</v>
      </c>
      <c r="H17" s="144">
        <f>(I17-F17)/F17</f>
        <v>-0.52809658667461623</v>
      </c>
      <c r="I17" s="32">
        <f>'Evolució mensual_anys'!O71</f>
        <v>3166</v>
      </c>
      <c r="J17" s="109">
        <f>'Evolució mensual_anys'!P71</f>
        <v>0.15697318416088016</v>
      </c>
      <c r="K17" s="144">
        <f>(L17-I17)/I17</f>
        <v>0.75274162981680337</v>
      </c>
      <c r="L17" s="32">
        <f>'Evolució mensual_anys'!O47</f>
        <v>5549.1799999999994</v>
      </c>
      <c r="M17" s="196">
        <f>'Evolució mensual_anys'!P47</f>
        <v>0.16423722437735275</v>
      </c>
      <c r="N17" s="144">
        <f>(O17-L17)/L17</f>
        <v>0.45004847563063388</v>
      </c>
      <c r="O17" s="32">
        <f>'Evolució mensual_anys'!O19</f>
        <v>8046.58</v>
      </c>
      <c r="P17" s="196">
        <f>'Evolució mensual_anys'!P19</f>
        <v>0.18510084692600851</v>
      </c>
    </row>
    <row r="18" spans="1:16" x14ac:dyDescent="0.25">
      <c r="A18" s="360"/>
      <c r="B18" s="133" t="s">
        <v>36</v>
      </c>
      <c r="C18" s="140">
        <f>'Evolució mensual_anys'!O118</f>
        <v>2227</v>
      </c>
      <c r="D18" s="110">
        <f>'Evolució mensual_anys'!P118</f>
        <v>7.2900589064256935E-2</v>
      </c>
      <c r="E18" s="144">
        <f t="shared" si="3"/>
        <v>0.25639874270318813</v>
      </c>
      <c r="F18" s="32">
        <f>'Evolució mensual_anys'!O95</f>
        <v>2798</v>
      </c>
      <c r="G18" s="110">
        <f>'Evolució mensual_anys'!P95</f>
        <v>6.8884358966783854E-2</v>
      </c>
      <c r="H18" s="144">
        <f t="shared" ref="H18:H30" si="5">(I18-F18)/F18</f>
        <v>-0.18066476054324518</v>
      </c>
      <c r="I18" s="32">
        <f>'Evolució mensual_anys'!O72</f>
        <v>2292.5</v>
      </c>
      <c r="J18" s="109">
        <f>'Evolució mensual_anys'!P72</f>
        <v>0.11366425290234294</v>
      </c>
      <c r="K18" s="144">
        <f t="shared" ref="K18:K24" si="6">(L18-I18)/I18</f>
        <v>0.74054961832061095</v>
      </c>
      <c r="L18" s="32">
        <f>'Evolució mensual_anys'!O48</f>
        <v>3990.2100000000005</v>
      </c>
      <c r="M18" s="196">
        <f>'Evolució mensual_anys'!P48</f>
        <v>0.11809691072964958</v>
      </c>
      <c r="N18" s="144">
        <f t="shared" ref="N18:N20" si="7">(O18-L18)/L18</f>
        <v>-0.11433734064121949</v>
      </c>
      <c r="O18" s="32">
        <f>'Evolució mensual_anys'!O20</f>
        <v>3533.98</v>
      </c>
      <c r="P18" s="196">
        <f>'Evolució mensual_anys'!P20</f>
        <v>8.1294499156110492E-2</v>
      </c>
    </row>
    <row r="19" spans="1:16" x14ac:dyDescent="0.25">
      <c r="A19" s="360"/>
      <c r="B19" s="133" t="s">
        <v>37</v>
      </c>
      <c r="C19" s="140">
        <f>'Evolució mensual_anys'!O119</f>
        <v>511.5</v>
      </c>
      <c r="D19" s="110">
        <f>'Evolució mensual_anys'!P119</f>
        <v>1.6743893716375136E-2</v>
      </c>
      <c r="E19" s="144">
        <f t="shared" si="3"/>
        <v>-0.17204301075268819</v>
      </c>
      <c r="F19" s="32">
        <f>'Evolució mensual_anys'!O96</f>
        <v>423.5</v>
      </c>
      <c r="G19" s="110">
        <f>'Evolució mensual_anys'!P96</f>
        <v>1.0426206584143302E-2</v>
      </c>
      <c r="H19" s="144">
        <f t="shared" si="5"/>
        <v>-0.44391971664698937</v>
      </c>
      <c r="I19" s="32">
        <f>'Evolució mensual_anys'!O73</f>
        <v>235.5</v>
      </c>
      <c r="J19" s="109">
        <f>'Evolució mensual_anys'!P73</f>
        <v>1.1676306023337739E-2</v>
      </c>
      <c r="K19" s="144">
        <f t="shared" si="6"/>
        <v>4.2462845010615709E-2</v>
      </c>
      <c r="L19" s="32">
        <f>'Evolució mensual_anys'!O49</f>
        <v>245.5</v>
      </c>
      <c r="M19" s="196">
        <f>'Evolució mensual_anys'!P49</f>
        <v>7.2659813854731876E-3</v>
      </c>
      <c r="N19" s="144">
        <f t="shared" si="7"/>
        <v>-0.13441955193482688</v>
      </c>
      <c r="O19" s="32">
        <f>'Evolució mensual_anys'!O21</f>
        <v>212.5</v>
      </c>
      <c r="P19" s="196">
        <f>'Evolució mensual_anys'!P21</f>
        <v>4.8882792405937434E-3</v>
      </c>
    </row>
    <row r="20" spans="1:16" x14ac:dyDescent="0.25">
      <c r="A20" s="360"/>
      <c r="B20" s="133" t="s">
        <v>54</v>
      </c>
      <c r="C20" s="140">
        <f>'Evolució mensual_anys'!O120</f>
        <v>14431.25</v>
      </c>
      <c r="D20" s="110">
        <f>'Evolució mensual_anys'!P120</f>
        <v>0.47240531025305704</v>
      </c>
      <c r="E20" s="144">
        <f t="shared" si="3"/>
        <v>0.25821048072758768</v>
      </c>
      <c r="F20" s="32">
        <f>'Evolució mensual_anys'!O97</f>
        <v>18157.55</v>
      </c>
      <c r="G20" s="110">
        <f>'Evolució mensual_anys'!P97</f>
        <v>0.44702329955587061</v>
      </c>
      <c r="H20" s="144">
        <f t="shared" si="5"/>
        <v>-0.68258382876544466</v>
      </c>
      <c r="I20" s="32">
        <f>'Evolució mensual_anys'!O74</f>
        <v>5763.5</v>
      </c>
      <c r="J20" s="109">
        <f>'Evolució mensual_anys'!P74</f>
        <v>0.28575961683867113</v>
      </c>
      <c r="K20" s="144">
        <f t="shared" si="6"/>
        <v>0.23979352823804967</v>
      </c>
      <c r="L20" s="32">
        <f>'Evolució mensual_anys'!O50</f>
        <v>7145.5499999999993</v>
      </c>
      <c r="M20" s="196">
        <f>'Evolució mensual_anys'!P50</f>
        <v>0.21148445331555166</v>
      </c>
      <c r="N20" s="144">
        <f t="shared" si="7"/>
        <v>0.81119717866364394</v>
      </c>
      <c r="O20" s="32">
        <f>'Evolució mensual_anys'!O22</f>
        <v>12942</v>
      </c>
      <c r="P20" s="196">
        <f>'Evolució mensual_anys'!P22</f>
        <v>0.29771345850241993</v>
      </c>
    </row>
    <row r="21" spans="1:16" x14ac:dyDescent="0.25">
      <c r="A21" s="360"/>
      <c r="B21" s="77" t="s">
        <v>71</v>
      </c>
      <c r="C21" s="140"/>
      <c r="D21" s="110"/>
      <c r="E21" s="144"/>
      <c r="F21" s="32"/>
      <c r="G21" s="110"/>
      <c r="H21" s="144"/>
      <c r="I21" s="32"/>
      <c r="J21" s="109"/>
      <c r="K21" s="144"/>
      <c r="L21" s="32">
        <f>'Evolució mensual_anys'!O51</f>
        <v>687</v>
      </c>
      <c r="M21" s="196">
        <f>'Evolució mensual_anys'!P51</f>
        <v>2.0332909213116417E-2</v>
      </c>
      <c r="N21" s="144"/>
      <c r="O21" s="32">
        <f>'Evolució mensual_anys'!O23</f>
        <v>255.94</v>
      </c>
      <c r="P21" s="196">
        <f>'Evolució mensual_anys'!P23</f>
        <v>5.8875585357061775E-3</v>
      </c>
    </row>
    <row r="22" spans="1:16" x14ac:dyDescent="0.25">
      <c r="A22" s="360"/>
      <c r="B22" s="77" t="s">
        <v>98</v>
      </c>
      <c r="C22" s="140"/>
      <c r="D22" s="110"/>
      <c r="E22" s="144"/>
      <c r="F22" s="32"/>
      <c r="G22" s="110"/>
      <c r="H22" s="144"/>
      <c r="I22" s="32"/>
      <c r="J22" s="109"/>
      <c r="K22" s="144"/>
      <c r="L22" s="32"/>
      <c r="M22" s="196"/>
      <c r="N22" s="144"/>
      <c r="O22" s="32">
        <f>'Evolució mensual_anys'!O24</f>
        <v>1404.84</v>
      </c>
      <c r="P22" s="196">
        <f>'Evolució mensual_anys'!P24</f>
        <v>3.2316471568732776E-2</v>
      </c>
    </row>
    <row r="23" spans="1:16" x14ac:dyDescent="0.25">
      <c r="A23" s="360"/>
      <c r="B23" s="133" t="s">
        <v>61</v>
      </c>
      <c r="C23" s="140">
        <f>'Evolució mensual_anys'!O121</f>
        <v>391.7</v>
      </c>
      <c r="D23" s="110">
        <f>'Evolució mensual_anys'!P121</f>
        <v>1.2822254484270068E-2</v>
      </c>
      <c r="E23" s="144">
        <f t="shared" si="3"/>
        <v>1.0467194281337759</v>
      </c>
      <c r="F23" s="32">
        <f>'Evolució mensual_anys'!O98</f>
        <v>801.7</v>
      </c>
      <c r="G23" s="110">
        <f>'Evolució mensual_anys'!P98</f>
        <v>1.9737166041340463E-2</v>
      </c>
      <c r="H23" s="144">
        <f t="shared" si="5"/>
        <v>-0.66121990769614569</v>
      </c>
      <c r="I23" s="32">
        <f>'Evolució mensual_anys'!O75</f>
        <v>271.60000000000002</v>
      </c>
      <c r="J23" s="109">
        <f>'Evolució mensual_anys'!P75</f>
        <v>1.3466177137743228E-2</v>
      </c>
      <c r="K23" s="144">
        <f t="shared" si="6"/>
        <v>1.0493372606774667</v>
      </c>
      <c r="L23" s="32">
        <f>'Evolució mensual_anys'!O52</f>
        <v>556.6</v>
      </c>
      <c r="M23" s="196">
        <f>'Evolució mensual_anys'!P52</f>
        <v>1.6473504029142064E-2</v>
      </c>
      <c r="N23" s="144">
        <f t="shared" ref="N23:N24" si="8">(O23-L23)/L23</f>
        <v>0.12037369744879625</v>
      </c>
      <c r="O23" s="32">
        <f>'Evolució mensual_anys'!O25</f>
        <v>623.6</v>
      </c>
      <c r="P23" s="196">
        <f>'Evolució mensual_anys'!P25</f>
        <v>1.4345086750278865E-2</v>
      </c>
    </row>
    <row r="24" spans="1:16" ht="15.75" thickBot="1" x14ac:dyDescent="0.3">
      <c r="A24" s="361"/>
      <c r="B24" s="134" t="s">
        <v>58</v>
      </c>
      <c r="C24" s="141">
        <f>'Evolució mensual_anys'!O122</f>
        <v>3952.7000000000003</v>
      </c>
      <c r="D24" s="114">
        <f>'Evolució mensual_anys'!P122</f>
        <v>0.12939118023991397</v>
      </c>
      <c r="E24" s="143">
        <f t="shared" si="3"/>
        <v>-0.28586788777291489</v>
      </c>
      <c r="F24" s="100">
        <f>'Evolució mensual_anys'!O99</f>
        <v>2822.7499999999995</v>
      </c>
      <c r="G24" s="114">
        <f>'Evolució mensual_anys'!P99</f>
        <v>6.9493682728194811E-2</v>
      </c>
      <c r="H24" s="143">
        <f t="shared" si="5"/>
        <v>-0.77080860862633938</v>
      </c>
      <c r="I24" s="100">
        <f>'Evolució mensual_anys'!O76</f>
        <v>646.95000000000005</v>
      </c>
      <c r="J24" s="113">
        <f>'Evolució mensual_anys'!P76</f>
        <v>3.2076374445003608E-2</v>
      </c>
      <c r="K24" s="143">
        <f t="shared" si="6"/>
        <v>0.90367107195301</v>
      </c>
      <c r="L24" s="100">
        <f>'Evolució mensual_anys'!O53</f>
        <v>1231.58</v>
      </c>
      <c r="M24" s="195">
        <f>'Evolució mensual_anys'!P53</f>
        <v>3.6450661322692743E-2</v>
      </c>
      <c r="N24" s="143">
        <f t="shared" si="8"/>
        <v>-0.58809009564949088</v>
      </c>
      <c r="O24" s="100">
        <f>'Evolució mensual_anys'!O26</f>
        <v>507.3</v>
      </c>
      <c r="P24" s="195">
        <f>'Evolució mensual_anys'!P26</f>
        <v>1.1669760276485676E-2</v>
      </c>
    </row>
    <row r="25" spans="1:16" x14ac:dyDescent="0.25">
      <c r="A25" s="203"/>
      <c r="B25" s="223"/>
      <c r="C25" s="32">
        <f>SUM(C16:C24)</f>
        <v>30940.15</v>
      </c>
      <c r="D25" s="109"/>
      <c r="E25" s="109"/>
      <c r="F25" s="32">
        <f>SUM(F16:F24)</f>
        <v>41420.5</v>
      </c>
      <c r="G25" s="109"/>
      <c r="H25" s="109"/>
      <c r="I25" s="32">
        <f>SUM(I16:I24)</f>
        <v>20169.05</v>
      </c>
      <c r="J25" s="109"/>
      <c r="K25" s="109"/>
      <c r="L25" s="32">
        <f>SUM(L16:L24)</f>
        <v>33787.589999999997</v>
      </c>
      <c r="M25" s="216"/>
      <c r="N25" s="109"/>
      <c r="O25" s="32">
        <f>SUM(O16:O24)</f>
        <v>43471.329999999994</v>
      </c>
      <c r="P25" s="216"/>
    </row>
    <row r="26" spans="1:16" ht="15.75" thickBot="1" x14ac:dyDescent="0.3">
      <c r="A26" s="364"/>
      <c r="B26" s="365"/>
      <c r="C26" s="365"/>
      <c r="D26" s="365"/>
      <c r="E26" s="365"/>
      <c r="F26" s="365"/>
      <c r="G26" s="365"/>
      <c r="H26" s="365"/>
      <c r="I26" s="365"/>
      <c r="J26" s="365"/>
      <c r="K26" s="365"/>
      <c r="L26" s="365"/>
      <c r="M26" s="365"/>
      <c r="N26" s="365"/>
      <c r="O26" s="365"/>
      <c r="P26" s="365"/>
    </row>
    <row r="27" spans="1:16" x14ac:dyDescent="0.25">
      <c r="A27" s="369" t="s">
        <v>16</v>
      </c>
      <c r="B27" s="132" t="s">
        <v>35</v>
      </c>
      <c r="C27" s="146">
        <f>'Evolució mensual_anys'!Q116</f>
        <v>2.2067972350230414</v>
      </c>
      <c r="D27" s="115"/>
      <c r="E27" s="142">
        <f>(F27-C27)/C27</f>
        <v>-1.4088867376369258E-2</v>
      </c>
      <c r="F27" s="146">
        <f>'Evolució mensual_anys'!Q93</f>
        <v>2.1757059614522634</v>
      </c>
      <c r="G27" s="117"/>
      <c r="H27" s="142">
        <f t="shared" si="5"/>
        <v>0.11932059899052348</v>
      </c>
      <c r="I27" s="146">
        <f>'Evolució mensual_anys'!Q70</f>
        <v>2.4353125000000002</v>
      </c>
      <c r="J27" s="117"/>
      <c r="K27" s="142">
        <f t="shared" ref="K27:K30" si="9">(L27-I27)/I27</f>
        <v>0.17993911644623806</v>
      </c>
      <c r="L27" s="146">
        <f>'Evolució mensual_anys'!Q46</f>
        <v>2.8735204795204794</v>
      </c>
      <c r="M27" s="348"/>
      <c r="N27" s="142">
        <f t="shared" ref="N27:N29" si="10">(O27-L27)/L27</f>
        <v>5.5506914210411568E-2</v>
      </c>
      <c r="O27" s="146">
        <f>'Evolució mensual_anys'!Q18</f>
        <v>3.0330207342590834</v>
      </c>
      <c r="P27" s="148"/>
    </row>
    <row r="28" spans="1:16" x14ac:dyDescent="0.25">
      <c r="A28" s="369"/>
      <c r="B28" s="133" t="s">
        <v>53</v>
      </c>
      <c r="C28" s="111">
        <f>'Evolució mensual_anys'!Q117</f>
        <v>1.9700704225352113</v>
      </c>
      <c r="D28" s="109"/>
      <c r="E28" s="144">
        <f t="shared" ref="E28:E30" si="11">(F28-C28)/C28</f>
        <v>0.1446931158522391</v>
      </c>
      <c r="F28" s="111">
        <f>'Evolució mensual_anys'!Q94</f>
        <v>2.2551260504201682</v>
      </c>
      <c r="G28" s="110"/>
      <c r="H28" s="144">
        <f t="shared" si="5"/>
        <v>0.74399087533294006</v>
      </c>
      <c r="I28" s="111">
        <f>'Evolució mensual_anys'!Q71</f>
        <v>3.9329192546583851</v>
      </c>
      <c r="J28" s="110"/>
      <c r="K28" s="144">
        <f t="shared" si="9"/>
        <v>0.25529983274246137</v>
      </c>
      <c r="L28" s="111">
        <f>'Evolució mensual_anys'!Q47</f>
        <v>4.9369928825622766</v>
      </c>
      <c r="M28" s="137"/>
      <c r="N28" s="144">
        <f t="shared" si="10"/>
        <v>0.12481331028904948</v>
      </c>
      <c r="O28" s="111">
        <f>'Evolució mensual_anys'!Q19</f>
        <v>5.5531953071083509</v>
      </c>
      <c r="P28" s="147"/>
    </row>
    <row r="29" spans="1:16" x14ac:dyDescent="0.25">
      <c r="A29" s="369"/>
      <c r="B29" s="133" t="s">
        <v>36</v>
      </c>
      <c r="C29" s="111">
        <f>'Evolució mensual_anys'!Q118</f>
        <v>2.7092457420924574</v>
      </c>
      <c r="D29" s="109"/>
      <c r="E29" s="144">
        <f t="shared" si="11"/>
        <v>-2.7533176551769546E-2</v>
      </c>
      <c r="F29" s="111">
        <f>'Evolució mensual_anys'!Q95</f>
        <v>2.6346516007532959</v>
      </c>
      <c r="G29" s="110"/>
      <c r="H29" s="144">
        <f t="shared" si="5"/>
        <v>4.773700119022656E-3</v>
      </c>
      <c r="I29" s="111">
        <f>'Evolució mensual_anys'!Q72</f>
        <v>2.6472286374133951</v>
      </c>
      <c r="J29" s="110"/>
      <c r="K29" s="144">
        <f t="shared" si="9"/>
        <v>4.2078410830439653E-3</v>
      </c>
      <c r="L29" s="111">
        <f>'Evolució mensual_anys'!Q48</f>
        <v>2.6583677548301137</v>
      </c>
      <c r="M29" s="137"/>
      <c r="N29" s="144">
        <f t="shared" si="10"/>
        <v>-3.8075505283987288E-2</v>
      </c>
      <c r="O29" s="111">
        <f>'Evolució mensual_anys'!Q20</f>
        <v>2.5571490593342983</v>
      </c>
      <c r="P29" s="147"/>
    </row>
    <row r="30" spans="1:16" x14ac:dyDescent="0.25">
      <c r="A30" s="369"/>
      <c r="B30" s="133" t="s">
        <v>37</v>
      </c>
      <c r="C30" s="111">
        <f>'Evolució mensual_anys'!Q119</f>
        <v>1.5738461538461539</v>
      </c>
      <c r="D30" s="109"/>
      <c r="E30" s="144">
        <f t="shared" si="11"/>
        <v>5.1117271505376309E-2</v>
      </c>
      <c r="F30" s="111">
        <f>'Evolució mensual_anys'!Q96</f>
        <v>1.654296875</v>
      </c>
      <c r="G30" s="110"/>
      <c r="H30" s="144">
        <f t="shared" si="5"/>
        <v>4.6739356899784749E-2</v>
      </c>
      <c r="I30" s="111">
        <f>'Evolució mensual_anys'!Q73</f>
        <v>1.7316176470588236</v>
      </c>
      <c r="J30" s="110"/>
      <c r="K30" s="144">
        <f t="shared" si="9"/>
        <v>-0.33438992055660216</v>
      </c>
      <c r="L30" s="111">
        <f>'Evolució mensual_anys'!Q49</f>
        <v>1.1525821596244132</v>
      </c>
      <c r="M30" s="137"/>
      <c r="N30" s="144">
        <f>(O30-L30)/L30</f>
        <v>0.47494908350305481</v>
      </c>
      <c r="O30" s="111">
        <f>'Evolució mensual_anys'!Q21</f>
        <v>1.7</v>
      </c>
      <c r="P30" s="147"/>
    </row>
    <row r="31" spans="1:16" x14ac:dyDescent="0.25">
      <c r="A31" s="369"/>
      <c r="B31" s="133" t="s">
        <v>71</v>
      </c>
      <c r="C31" s="111"/>
      <c r="D31" s="109"/>
      <c r="E31" s="144"/>
      <c r="F31" s="111"/>
      <c r="G31" s="110"/>
      <c r="H31" s="144"/>
      <c r="I31" s="111"/>
      <c r="J31" s="110"/>
      <c r="K31" s="144"/>
      <c r="L31" s="111">
        <f>'Evolució mensual_anys'!Q51</f>
        <v>4.6734693877551017</v>
      </c>
      <c r="M31" s="137"/>
      <c r="N31" s="144">
        <f>(O31-L31)/L31</f>
        <v>-9.9138286175360038E-2</v>
      </c>
      <c r="O31" s="111">
        <f>'Evolució mensual_anys'!Q22</f>
        <v>4.2101496421600517</v>
      </c>
      <c r="P31" s="147"/>
    </row>
    <row r="32" spans="1:16" x14ac:dyDescent="0.25">
      <c r="A32" s="369"/>
      <c r="B32" s="133" t="s">
        <v>54</v>
      </c>
      <c r="C32" s="111">
        <f>'Evolució mensual_anys'!Q120</f>
        <v>2.363066972326838</v>
      </c>
      <c r="D32" s="109"/>
      <c r="E32" s="144">
        <f>(F32-C32)/C32</f>
        <v>0.21985893091020453</v>
      </c>
      <c r="F32" s="111">
        <f>'Evolució mensual_anys'!Q97</f>
        <v>2.8826083505318305</v>
      </c>
      <c r="G32" s="110"/>
      <c r="H32" s="144">
        <f>(I32-F32)/F32</f>
        <v>0.19367430603370983</v>
      </c>
      <c r="I32" s="111">
        <f>'Evolució mensual_anys'!Q74</f>
        <v>3.4408955223880597</v>
      </c>
      <c r="J32" s="110"/>
      <c r="K32" s="144">
        <f>(L32-I32)/I32</f>
        <v>0.42334075380310698</v>
      </c>
      <c r="L32" s="111">
        <f>'Evolució mensual_anys'!Q50</f>
        <v>4.8975668265935566</v>
      </c>
      <c r="M32" s="137"/>
      <c r="N32" s="144">
        <f t="shared" ref="N32" si="12">(O32-L32)/L32</f>
        <v>-1.3988624401808021E-2</v>
      </c>
      <c r="O32" s="111">
        <f>'Evolució mensual_anys'!Q23</f>
        <v>4.8290566037735845</v>
      </c>
      <c r="P32" s="147"/>
    </row>
    <row r="33" spans="1:16" ht="15.75" thickBot="1" x14ac:dyDescent="0.3">
      <c r="A33" s="370"/>
      <c r="B33" s="134" t="s">
        <v>98</v>
      </c>
      <c r="C33" s="349"/>
      <c r="D33" s="349"/>
      <c r="E33" s="350"/>
      <c r="F33" s="349"/>
      <c r="G33" s="107"/>
      <c r="H33" s="350"/>
      <c r="I33" s="349"/>
      <c r="J33" s="107"/>
      <c r="K33" s="350"/>
      <c r="L33" s="349"/>
      <c r="M33" s="349"/>
      <c r="N33" s="350"/>
      <c r="O33" s="112">
        <f>'Evolució mensual_anys'!Q24</f>
        <v>7.0241999999999996</v>
      </c>
      <c r="P33" s="107"/>
    </row>
    <row r="34" spans="1:16" x14ac:dyDescent="0.25">
      <c r="C34" s="193">
        <f>AVERAGE(C27:C33)</f>
        <v>2.1646053051647405</v>
      </c>
      <c r="D34" s="101"/>
      <c r="E34" s="101"/>
      <c r="F34" s="193">
        <f>AVERAGE(F27:F33)</f>
        <v>2.3204777676315116</v>
      </c>
      <c r="I34" s="193">
        <f>AVERAGE(I27:I33)</f>
        <v>2.8375947123037326</v>
      </c>
      <c r="L34" s="193">
        <f>AVERAGE(L27:L33)</f>
        <v>3.5320832484809905</v>
      </c>
      <c r="O34" s="193">
        <f>AVERAGE(O27:O33)</f>
        <v>4.1295387638050522</v>
      </c>
    </row>
    <row r="35" spans="1:16" ht="15.75" thickBot="1" x14ac:dyDescent="0.3">
      <c r="D35" s="93"/>
      <c r="E35" s="93"/>
    </row>
    <row r="36" spans="1:16" ht="15.75" thickTop="1" x14ac:dyDescent="0.25">
      <c r="A36" s="366" t="s">
        <v>74</v>
      </c>
      <c r="B36" s="197" t="s">
        <v>35</v>
      </c>
      <c r="C36" s="198">
        <f>'Vendes Tiqets'!N21/'Evolució mensual_anys'!O36</f>
        <v>0.12947052947052948</v>
      </c>
    </row>
    <row r="37" spans="1:16" x14ac:dyDescent="0.25">
      <c r="A37" s="367"/>
      <c r="B37" s="199" t="s">
        <v>69</v>
      </c>
      <c r="C37" s="200">
        <f>'Vendes Tiqets'!N22/'Evolució mensual_anys'!O37</f>
        <v>0.69306049822064053</v>
      </c>
    </row>
    <row r="38" spans="1:16" x14ac:dyDescent="0.25">
      <c r="A38" s="367"/>
      <c r="B38" s="199" t="s">
        <v>70</v>
      </c>
      <c r="C38" s="200">
        <f>'Vendes Tiqets'!N23/'Evolució mensual_anys'!O38</f>
        <v>0.29447035309793473</v>
      </c>
    </row>
    <row r="39" spans="1:16" ht="15.75" thickBot="1" x14ac:dyDescent="0.3">
      <c r="A39" s="368"/>
      <c r="B39" s="201" t="s">
        <v>71</v>
      </c>
      <c r="C39" s="202">
        <f>'Vendes Tiqets'!N24/'Evolució mensual_anys'!O41</f>
        <v>0.99319727891156462</v>
      </c>
    </row>
    <row r="40" spans="1:16" ht="15.75" thickTop="1" x14ac:dyDescent="0.25"/>
  </sheetData>
  <mergeCells count="14">
    <mergeCell ref="A26:P26"/>
    <mergeCell ref="A36:A39"/>
    <mergeCell ref="A27:A33"/>
    <mergeCell ref="C1:D1"/>
    <mergeCell ref="A1:B2"/>
    <mergeCell ref="A3:A4"/>
    <mergeCell ref="A7:A13"/>
    <mergeCell ref="E1:G1"/>
    <mergeCell ref="H1:J1"/>
    <mergeCell ref="K1:M1"/>
    <mergeCell ref="N1:P1"/>
    <mergeCell ref="A6:P6"/>
    <mergeCell ref="A15:P15"/>
    <mergeCell ref="A16:A24"/>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4"/>
  <sheetViews>
    <sheetView tabSelected="1" workbookViewId="0">
      <selection activeCell="L23" sqref="L23"/>
    </sheetView>
  </sheetViews>
  <sheetFormatPr defaultColWidth="11.42578125" defaultRowHeight="15" x14ac:dyDescent="0.25"/>
  <cols>
    <col min="1" max="1" width="16.5703125" bestFit="1" customWidth="1"/>
    <col min="2" max="2" width="20.28515625" bestFit="1" customWidth="1"/>
    <col min="3" max="4" width="11" customWidth="1"/>
    <col min="5" max="14" width="11" bestFit="1" customWidth="1"/>
    <col min="15" max="15" width="12" bestFit="1" customWidth="1"/>
    <col min="18" max="18" width="14" bestFit="1" customWidth="1"/>
  </cols>
  <sheetData>
    <row r="1" spans="1:19" ht="15.75" thickBot="1" x14ac:dyDescent="0.3">
      <c r="A1" s="383">
        <v>2022</v>
      </c>
      <c r="B1" s="384"/>
      <c r="C1" s="384"/>
      <c r="D1" s="384"/>
      <c r="E1" s="384"/>
      <c r="F1" s="384"/>
      <c r="G1" s="384"/>
      <c r="H1" s="384"/>
      <c r="I1" s="384"/>
      <c r="J1" s="384"/>
      <c r="K1" s="384"/>
      <c r="L1" s="384"/>
      <c r="M1" s="384"/>
      <c r="N1" s="384"/>
      <c r="O1" s="385"/>
    </row>
    <row r="2" spans="1:19" ht="15.75" thickBot="1" x14ac:dyDescent="0.3">
      <c r="A2" s="362"/>
      <c r="B2" s="363"/>
      <c r="C2" s="119" t="s">
        <v>45</v>
      </c>
      <c r="D2" s="119" t="s">
        <v>46</v>
      </c>
      <c r="E2" s="119" t="s">
        <v>47</v>
      </c>
      <c r="F2" s="119" t="s">
        <v>48</v>
      </c>
      <c r="G2" s="119" t="s">
        <v>49</v>
      </c>
      <c r="H2" s="119" t="s">
        <v>50</v>
      </c>
      <c r="I2" s="119" t="s">
        <v>51</v>
      </c>
      <c r="J2" s="119" t="s">
        <v>52</v>
      </c>
      <c r="K2" s="119" t="s">
        <v>44</v>
      </c>
      <c r="L2" s="119" t="s">
        <v>43</v>
      </c>
      <c r="M2" s="119" t="s">
        <v>41</v>
      </c>
      <c r="N2" s="119" t="s">
        <v>42</v>
      </c>
      <c r="O2" s="120" t="s">
        <v>57</v>
      </c>
      <c r="P2" s="379" t="s">
        <v>60</v>
      </c>
      <c r="Q2" s="380"/>
    </row>
    <row r="3" spans="1:19" x14ac:dyDescent="0.25">
      <c r="A3" s="359" t="s">
        <v>56</v>
      </c>
      <c r="B3" s="80" t="s">
        <v>55</v>
      </c>
      <c r="C3" s="297">
        <v>0</v>
      </c>
      <c r="D3" s="297">
        <v>5</v>
      </c>
      <c r="E3" s="297">
        <v>5</v>
      </c>
      <c r="F3" s="297">
        <v>25</v>
      </c>
      <c r="G3" s="311">
        <v>0</v>
      </c>
      <c r="H3" s="297">
        <v>11</v>
      </c>
      <c r="I3" s="297">
        <v>16</v>
      </c>
      <c r="J3" s="297">
        <v>11</v>
      </c>
      <c r="K3" s="297">
        <v>11</v>
      </c>
      <c r="L3" s="297">
        <v>884</v>
      </c>
      <c r="M3" s="297"/>
      <c r="N3" s="297"/>
      <c r="O3" s="94">
        <f>SUM(C3:N3)</f>
        <v>968</v>
      </c>
      <c r="P3" s="101">
        <f>O3/(O3+O4)</f>
        <v>0.18636888717751252</v>
      </c>
      <c r="Q3">
        <f>SUM(H3:K3)</f>
        <v>49</v>
      </c>
    </row>
    <row r="4" spans="1:19" ht="15.75" thickBot="1" x14ac:dyDescent="0.3">
      <c r="A4" s="361"/>
      <c r="B4" s="82" t="s">
        <v>63</v>
      </c>
      <c r="C4" s="83">
        <v>308</v>
      </c>
      <c r="D4" s="83">
        <v>358</v>
      </c>
      <c r="E4" s="83">
        <v>320</v>
      </c>
      <c r="F4" s="83">
        <v>657</v>
      </c>
      <c r="G4" s="83">
        <v>367</v>
      </c>
      <c r="H4" s="83">
        <v>304</v>
      </c>
      <c r="I4" s="83">
        <v>297</v>
      </c>
      <c r="J4" s="83">
        <v>588</v>
      </c>
      <c r="K4" s="83">
        <v>469</v>
      </c>
      <c r="L4" s="83">
        <v>558</v>
      </c>
      <c r="M4" s="83"/>
      <c r="N4" s="83"/>
      <c r="O4" s="96">
        <f>SUM(C4:N4)</f>
        <v>4226</v>
      </c>
      <c r="P4" s="101">
        <f>O4/(O3+O4)</f>
        <v>0.81363111282248746</v>
      </c>
      <c r="Q4">
        <f t="shared" ref="Q4:Q5" si="0">SUM(H4:K4)</f>
        <v>1658</v>
      </c>
    </row>
    <row r="5" spans="1:19" ht="15.75" thickBot="1" x14ac:dyDescent="0.3">
      <c r="A5" s="295"/>
      <c r="B5" s="221"/>
      <c r="C5" s="228">
        <f>SUM(C3:C4)</f>
        <v>308</v>
      </c>
      <c r="D5" s="229">
        <f t="shared" ref="D5:N5" si="1">SUM(D3:D4)</f>
        <v>363</v>
      </c>
      <c r="E5" s="229">
        <f t="shared" si="1"/>
        <v>325</v>
      </c>
      <c r="F5" s="229">
        <f t="shared" si="1"/>
        <v>682</v>
      </c>
      <c r="G5" s="229">
        <f t="shared" si="1"/>
        <v>367</v>
      </c>
      <c r="H5" s="229">
        <f t="shared" si="1"/>
        <v>315</v>
      </c>
      <c r="I5" s="229">
        <f t="shared" si="1"/>
        <v>313</v>
      </c>
      <c r="J5" s="229">
        <f t="shared" si="1"/>
        <v>599</v>
      </c>
      <c r="K5" s="229">
        <f t="shared" si="1"/>
        <v>480</v>
      </c>
      <c r="L5" s="229">
        <f t="shared" si="1"/>
        <v>1442</v>
      </c>
      <c r="M5" s="229">
        <f t="shared" si="1"/>
        <v>0</v>
      </c>
      <c r="N5" s="229">
        <f t="shared" si="1"/>
        <v>0</v>
      </c>
      <c r="O5" s="230">
        <f>SUM(O3:O4)</f>
        <v>5194</v>
      </c>
      <c r="P5" s="101"/>
      <c r="Q5">
        <f t="shared" si="0"/>
        <v>1707</v>
      </c>
    </row>
    <row r="6" spans="1:19" ht="15.75" thickBot="1" x14ac:dyDescent="0.3">
      <c r="A6" s="295"/>
      <c r="B6" s="221"/>
      <c r="C6" s="299"/>
      <c r="D6" s="299"/>
      <c r="E6" s="299"/>
      <c r="F6" s="299"/>
      <c r="G6" s="299"/>
      <c r="H6" s="299"/>
      <c r="I6" s="299"/>
      <c r="J6" s="299"/>
      <c r="K6" s="299"/>
      <c r="L6" s="299"/>
      <c r="M6" s="299"/>
      <c r="N6" s="299"/>
      <c r="O6" s="225"/>
      <c r="P6" s="101"/>
    </row>
    <row r="7" spans="1:19" ht="15.75" thickBot="1" x14ac:dyDescent="0.3">
      <c r="A7" s="357"/>
      <c r="B7" s="358"/>
      <c r="C7" s="292" t="s">
        <v>45</v>
      </c>
      <c r="D7" s="292" t="s">
        <v>46</v>
      </c>
      <c r="E7" s="292" t="s">
        <v>47</v>
      </c>
      <c r="F7" s="292" t="s">
        <v>48</v>
      </c>
      <c r="G7" s="292" t="s">
        <v>49</v>
      </c>
      <c r="H7" s="292" t="s">
        <v>50</v>
      </c>
      <c r="I7" s="292" t="s">
        <v>51</v>
      </c>
      <c r="J7" s="292" t="s">
        <v>52</v>
      </c>
      <c r="K7" s="292" t="s">
        <v>44</v>
      </c>
      <c r="L7" s="292" t="s">
        <v>43</v>
      </c>
      <c r="M7" s="292" t="s">
        <v>41</v>
      </c>
      <c r="N7" s="292" t="s">
        <v>42</v>
      </c>
      <c r="O7" s="293" t="s">
        <v>57</v>
      </c>
      <c r="P7" s="379" t="s">
        <v>60</v>
      </c>
      <c r="Q7" s="380"/>
      <c r="R7" s="121" t="s">
        <v>100</v>
      </c>
      <c r="S7" s="119" t="s">
        <v>39</v>
      </c>
    </row>
    <row r="8" spans="1:19" x14ac:dyDescent="0.25">
      <c r="A8" s="359" t="s">
        <v>38</v>
      </c>
      <c r="B8" s="132" t="s">
        <v>35</v>
      </c>
      <c r="C8" s="297">
        <v>405</v>
      </c>
      <c r="D8" s="297">
        <v>333</v>
      </c>
      <c r="E8" s="297">
        <v>159</v>
      </c>
      <c r="F8" s="297">
        <v>1214</v>
      </c>
      <c r="G8" s="309">
        <v>239</v>
      </c>
      <c r="H8" s="297">
        <v>256</v>
      </c>
      <c r="I8" s="297">
        <v>440</v>
      </c>
      <c r="J8" s="297">
        <v>836</v>
      </c>
      <c r="K8" s="297">
        <v>679</v>
      </c>
      <c r="L8" s="297">
        <v>696</v>
      </c>
      <c r="M8" s="297"/>
      <c r="N8" s="297"/>
      <c r="O8" s="94">
        <f t="shared" ref="O8:O14" si="2">SUM(C8:N8)</f>
        <v>5257</v>
      </c>
      <c r="P8" s="101">
        <f>O8/$O$15</f>
        <v>0.45554592720970538</v>
      </c>
      <c r="Q8">
        <f t="shared" ref="Q8:Q14" si="3">SUM(H8:K8)</f>
        <v>2211</v>
      </c>
      <c r="R8" s="85">
        <f>Q8/$Q$15</f>
        <v>0.53444525018129074</v>
      </c>
      <c r="S8" s="85">
        <f>R18/$R$27</f>
        <v>0.44654700122204771</v>
      </c>
    </row>
    <row r="9" spans="1:19" x14ac:dyDescent="0.25">
      <c r="A9" s="360"/>
      <c r="B9" s="133" t="s">
        <v>53</v>
      </c>
      <c r="C9" s="299">
        <v>157</v>
      </c>
      <c r="D9" s="299">
        <v>150</v>
      </c>
      <c r="E9" s="104">
        <v>72</v>
      </c>
      <c r="F9" s="104">
        <v>495</v>
      </c>
      <c r="G9" s="104">
        <v>106</v>
      </c>
      <c r="H9" s="299">
        <v>65</v>
      </c>
      <c r="I9" s="299">
        <v>74</v>
      </c>
      <c r="J9" s="299">
        <v>80</v>
      </c>
      <c r="K9" s="299">
        <v>102</v>
      </c>
      <c r="L9" s="299">
        <v>148</v>
      </c>
      <c r="M9" s="299"/>
      <c r="N9" s="299"/>
      <c r="O9" s="95">
        <f t="shared" si="2"/>
        <v>1449</v>
      </c>
      <c r="P9" s="101">
        <f t="shared" ref="P9:P14" si="4">O9/$O$15</f>
        <v>0.12556325823223571</v>
      </c>
      <c r="Q9">
        <f t="shared" si="3"/>
        <v>321</v>
      </c>
      <c r="R9" s="85">
        <f t="shared" ref="R9:R14" si="5">Q9/$Q$15</f>
        <v>7.75924583031182E-2</v>
      </c>
      <c r="S9" s="85">
        <f>R19/$R$27</f>
        <v>0.1644806297513054</v>
      </c>
    </row>
    <row r="10" spans="1:19" x14ac:dyDescent="0.25">
      <c r="A10" s="360"/>
      <c r="B10" s="133" t="s">
        <v>36</v>
      </c>
      <c r="C10" s="299">
        <v>130</v>
      </c>
      <c r="D10" s="299">
        <v>136</v>
      </c>
      <c r="E10" s="299">
        <v>68</v>
      </c>
      <c r="F10" s="104">
        <v>123</v>
      </c>
      <c r="G10" s="104">
        <v>136</v>
      </c>
      <c r="H10" s="299">
        <v>64</v>
      </c>
      <c r="I10" s="299">
        <v>126</v>
      </c>
      <c r="J10" s="299">
        <v>282</v>
      </c>
      <c r="K10" s="299">
        <v>114</v>
      </c>
      <c r="L10" s="299">
        <v>203</v>
      </c>
      <c r="M10" s="299"/>
      <c r="N10" s="207"/>
      <c r="O10" s="95">
        <f t="shared" si="2"/>
        <v>1382</v>
      </c>
      <c r="P10" s="101">
        <f t="shared" si="4"/>
        <v>0.11975736568457539</v>
      </c>
      <c r="Q10">
        <f t="shared" si="3"/>
        <v>586</v>
      </c>
      <c r="R10" s="85">
        <f t="shared" si="5"/>
        <v>0.14164853758762389</v>
      </c>
      <c r="S10" s="85">
        <f>R20/$R$27</f>
        <v>9.7827929343427128E-2</v>
      </c>
    </row>
    <row r="11" spans="1:19" x14ac:dyDescent="0.25">
      <c r="A11" s="360"/>
      <c r="B11" s="133" t="s">
        <v>37</v>
      </c>
      <c r="C11" s="299">
        <v>4</v>
      </c>
      <c r="D11" s="299">
        <v>0</v>
      </c>
      <c r="E11" s="299">
        <v>23</v>
      </c>
      <c r="F11" s="299">
        <v>8</v>
      </c>
      <c r="G11" s="104">
        <v>0</v>
      </c>
      <c r="H11" s="299">
        <v>41</v>
      </c>
      <c r="I11" s="299">
        <v>12</v>
      </c>
      <c r="J11" s="299">
        <v>17</v>
      </c>
      <c r="K11" s="299">
        <v>13</v>
      </c>
      <c r="L11" s="299">
        <v>7</v>
      </c>
      <c r="M11" s="299"/>
      <c r="N11" s="207"/>
      <c r="O11" s="95">
        <f t="shared" si="2"/>
        <v>125</v>
      </c>
      <c r="P11" s="101">
        <f t="shared" si="4"/>
        <v>1.0831889081455806E-2</v>
      </c>
      <c r="Q11">
        <f t="shared" si="3"/>
        <v>83</v>
      </c>
      <c r="R11" s="85">
        <f t="shared" si="5"/>
        <v>2.0062847474014985E-2</v>
      </c>
      <c r="S11" s="85">
        <f>R21/$R$27</f>
        <v>9.014585217984733E-3</v>
      </c>
    </row>
    <row r="12" spans="1:19" x14ac:dyDescent="0.25">
      <c r="A12" s="360"/>
      <c r="B12" s="133" t="s">
        <v>98</v>
      </c>
      <c r="C12" s="325"/>
      <c r="D12" s="325"/>
      <c r="E12" s="325"/>
      <c r="F12" s="325"/>
      <c r="G12" s="104"/>
      <c r="H12" s="325"/>
      <c r="I12" s="325">
        <v>21</v>
      </c>
      <c r="J12" s="325">
        <v>74</v>
      </c>
      <c r="K12" s="325">
        <v>67</v>
      </c>
      <c r="L12" s="325">
        <v>38</v>
      </c>
      <c r="M12" s="325"/>
      <c r="N12" s="207"/>
      <c r="O12" s="95">
        <f t="shared" si="2"/>
        <v>200</v>
      </c>
      <c r="P12" s="101">
        <f t="shared" si="4"/>
        <v>1.7331022530329289E-2</v>
      </c>
      <c r="Q12">
        <f t="shared" si="3"/>
        <v>162</v>
      </c>
      <c r="R12" s="85">
        <f t="shared" si="5"/>
        <v>3.9158810732414791E-2</v>
      </c>
      <c r="S12" s="85">
        <f>R24/$R$27</f>
        <v>7.1818311669761464E-2</v>
      </c>
    </row>
    <row r="13" spans="1:19" x14ac:dyDescent="0.25">
      <c r="A13" s="360"/>
      <c r="B13" s="133" t="s">
        <v>54</v>
      </c>
      <c r="C13" s="299">
        <v>26</v>
      </c>
      <c r="D13" s="299">
        <v>283</v>
      </c>
      <c r="E13" s="299">
        <v>317</v>
      </c>
      <c r="F13" s="299">
        <v>394</v>
      </c>
      <c r="G13" s="299">
        <v>487</v>
      </c>
      <c r="H13" s="299">
        <v>293</v>
      </c>
      <c r="I13" s="299">
        <v>173</v>
      </c>
      <c r="J13" s="299">
        <v>18</v>
      </c>
      <c r="K13" s="299">
        <v>277</v>
      </c>
      <c r="L13" s="299">
        <v>806</v>
      </c>
      <c r="M13" s="299"/>
      <c r="N13" s="299"/>
      <c r="O13" s="95">
        <f t="shared" si="2"/>
        <v>3074</v>
      </c>
      <c r="P13" s="101">
        <f t="shared" si="4"/>
        <v>0.2663778162911612</v>
      </c>
      <c r="Q13">
        <f t="shared" si="3"/>
        <v>761</v>
      </c>
      <c r="R13" s="85">
        <f t="shared" si="5"/>
        <v>0.18394972202078802</v>
      </c>
      <c r="S13" s="85">
        <f>R22/$R$27</f>
        <v>0.20708152803567748</v>
      </c>
    </row>
    <row r="14" spans="1:19" ht="15.75" thickBot="1" x14ac:dyDescent="0.3">
      <c r="A14" s="361"/>
      <c r="B14" s="134" t="s">
        <v>71</v>
      </c>
      <c r="C14" s="299">
        <v>11</v>
      </c>
      <c r="D14" s="299">
        <v>5</v>
      </c>
      <c r="E14" s="299">
        <v>12</v>
      </c>
      <c r="F14" s="299">
        <v>2</v>
      </c>
      <c r="G14" s="299">
        <v>10</v>
      </c>
      <c r="H14" s="299">
        <v>7</v>
      </c>
      <c r="I14" s="299">
        <v>2</v>
      </c>
      <c r="J14" s="299">
        <v>0</v>
      </c>
      <c r="K14" s="299">
        <v>4</v>
      </c>
      <c r="L14" s="299">
        <v>0</v>
      </c>
      <c r="M14" s="299"/>
      <c r="N14" s="299"/>
      <c r="O14" s="95">
        <f t="shared" si="2"/>
        <v>53</v>
      </c>
      <c r="P14" s="101">
        <f t="shared" si="4"/>
        <v>4.5927209705372615E-3</v>
      </c>
      <c r="Q14">
        <f t="shared" si="3"/>
        <v>13</v>
      </c>
      <c r="R14" s="85">
        <f t="shared" si="5"/>
        <v>3.1423737007493352E-3</v>
      </c>
      <c r="S14" s="85">
        <f>R23/$R$27</f>
        <v>3.2300147597962197E-3</v>
      </c>
    </row>
    <row r="15" spans="1:19" ht="15.75" thickBot="1" x14ac:dyDescent="0.3">
      <c r="A15" s="222"/>
      <c r="B15" s="223"/>
      <c r="C15" s="228">
        <f t="shared" ref="C15:O15" si="6">SUM(C8:C14)</f>
        <v>733</v>
      </c>
      <c r="D15" s="229">
        <f t="shared" si="6"/>
        <v>907</v>
      </c>
      <c r="E15" s="229">
        <f t="shared" si="6"/>
        <v>651</v>
      </c>
      <c r="F15" s="229">
        <f t="shared" si="6"/>
        <v>2236</v>
      </c>
      <c r="G15" s="229">
        <f t="shared" si="6"/>
        <v>978</v>
      </c>
      <c r="H15" s="229">
        <f t="shared" si="6"/>
        <v>726</v>
      </c>
      <c r="I15" s="229">
        <f t="shared" si="6"/>
        <v>848</v>
      </c>
      <c r="J15" s="229">
        <f t="shared" si="6"/>
        <v>1307</v>
      </c>
      <c r="K15" s="229">
        <f t="shared" si="6"/>
        <v>1256</v>
      </c>
      <c r="L15" s="229">
        <f t="shared" si="6"/>
        <v>1898</v>
      </c>
      <c r="M15" s="229">
        <f t="shared" si="6"/>
        <v>0</v>
      </c>
      <c r="N15" s="229">
        <f t="shared" si="6"/>
        <v>0</v>
      </c>
      <c r="O15" s="230">
        <f t="shared" si="6"/>
        <v>11540</v>
      </c>
      <c r="P15" s="101">
        <f>SUM(P8:P14)</f>
        <v>1</v>
      </c>
      <c r="Q15">
        <f>SUM(H15:K15)</f>
        <v>4137</v>
      </c>
      <c r="R15" s="192"/>
      <c r="S15" s="93">
        <f>SUM(S8:S14)</f>
        <v>1</v>
      </c>
    </row>
    <row r="16" spans="1:19" ht="15.75" thickBot="1" x14ac:dyDescent="0.3">
      <c r="A16" s="222"/>
      <c r="B16" s="223"/>
      <c r="C16" s="244"/>
      <c r="D16" s="244"/>
      <c r="E16" s="244"/>
      <c r="F16" s="244"/>
      <c r="G16" s="244"/>
      <c r="H16" s="244"/>
      <c r="I16" s="244"/>
      <c r="J16" s="244"/>
      <c r="K16" s="244"/>
      <c r="L16" s="244"/>
      <c r="M16" s="244"/>
      <c r="N16" s="244"/>
      <c r="O16" s="303"/>
      <c r="P16" s="101"/>
      <c r="R16" s="192"/>
    </row>
    <row r="17" spans="1:19" ht="15.75" thickBot="1" x14ac:dyDescent="0.3">
      <c r="A17" s="357"/>
      <c r="B17" s="358"/>
      <c r="C17" s="292" t="s">
        <v>45</v>
      </c>
      <c r="D17" s="292" t="s">
        <v>46</v>
      </c>
      <c r="E17" s="292" t="s">
        <v>47</v>
      </c>
      <c r="F17" s="292" t="s">
        <v>48</v>
      </c>
      <c r="G17" s="292" t="s">
        <v>49</v>
      </c>
      <c r="H17" s="292" t="s">
        <v>50</v>
      </c>
      <c r="I17" s="292" t="s">
        <v>51</v>
      </c>
      <c r="J17" s="292" t="s">
        <v>52</v>
      </c>
      <c r="K17" s="292" t="s">
        <v>44</v>
      </c>
      <c r="L17" s="292" t="s">
        <v>43</v>
      </c>
      <c r="M17" s="292" t="s">
        <v>41</v>
      </c>
      <c r="N17" s="292" t="s">
        <v>42</v>
      </c>
      <c r="O17" s="293" t="s">
        <v>57</v>
      </c>
      <c r="P17" s="300" t="s">
        <v>59</v>
      </c>
      <c r="Q17" s="300" t="s">
        <v>16</v>
      </c>
    </row>
    <row r="18" spans="1:19" x14ac:dyDescent="0.25">
      <c r="A18" s="359" t="s">
        <v>39</v>
      </c>
      <c r="B18" s="79" t="s">
        <v>35</v>
      </c>
      <c r="C18" s="102">
        <v>1277</v>
      </c>
      <c r="D18" s="102">
        <v>982</v>
      </c>
      <c r="E18" s="102">
        <v>463</v>
      </c>
      <c r="F18" s="102">
        <v>3966</v>
      </c>
      <c r="G18" s="32">
        <v>824.2</v>
      </c>
      <c r="H18" s="315">
        <v>893</v>
      </c>
      <c r="I18" s="102">
        <v>1444.12</v>
      </c>
      <c r="J18" s="102">
        <v>2652</v>
      </c>
      <c r="K18" s="102">
        <v>2045</v>
      </c>
      <c r="L18" s="102">
        <v>1398.27</v>
      </c>
      <c r="M18" s="102"/>
      <c r="N18" s="102"/>
      <c r="O18" s="103">
        <f t="shared" ref="O18:O20" si="7">SUM(C18:N18)</f>
        <v>15944.59</v>
      </c>
      <c r="P18" s="85">
        <f>O18/$O$27</f>
        <v>0.36678403904366402</v>
      </c>
      <c r="Q18" s="86">
        <f>O18/O8</f>
        <v>3.0330207342590834</v>
      </c>
      <c r="R18" s="283">
        <f>SUM(H18:K18)</f>
        <v>7034.12</v>
      </c>
    </row>
    <row r="19" spans="1:19" x14ac:dyDescent="0.25">
      <c r="A19" s="360"/>
      <c r="B19" s="77" t="s">
        <v>53</v>
      </c>
      <c r="C19" s="75">
        <v>739</v>
      </c>
      <c r="D19" s="75">
        <v>689</v>
      </c>
      <c r="E19" s="75">
        <v>411</v>
      </c>
      <c r="F19" s="75">
        <v>2462</v>
      </c>
      <c r="G19" s="32">
        <v>492.34</v>
      </c>
      <c r="H19" s="287">
        <v>300</v>
      </c>
      <c r="I19" s="75">
        <v>395.94</v>
      </c>
      <c r="J19" s="75">
        <v>915</v>
      </c>
      <c r="K19" s="75">
        <v>980</v>
      </c>
      <c r="L19" s="75">
        <v>662.3</v>
      </c>
      <c r="M19" s="75"/>
      <c r="N19" s="75"/>
      <c r="O19" s="76">
        <f t="shared" si="7"/>
        <v>8046.58</v>
      </c>
      <c r="P19" s="85">
        <f t="shared" ref="P19:P26" si="8">O19/$O$27</f>
        <v>0.18510084692600851</v>
      </c>
      <c r="Q19" s="86">
        <f>O19/O9</f>
        <v>5.5531953071083509</v>
      </c>
      <c r="R19" s="283">
        <f t="shared" ref="R19:R24" si="9">SUM(H19:K19)</f>
        <v>2590.94</v>
      </c>
    </row>
    <row r="20" spans="1:19" x14ac:dyDescent="0.25">
      <c r="A20" s="360"/>
      <c r="B20" s="77" t="s">
        <v>36</v>
      </c>
      <c r="C20" s="32">
        <v>332.41</v>
      </c>
      <c r="D20" s="32">
        <v>327.60000000000002</v>
      </c>
      <c r="E20" s="32">
        <v>161.31</v>
      </c>
      <c r="F20" s="32">
        <v>304.87</v>
      </c>
      <c r="G20" s="32">
        <v>395.01</v>
      </c>
      <c r="H20" s="316">
        <v>183.38</v>
      </c>
      <c r="I20" s="32">
        <v>329.5</v>
      </c>
      <c r="J20" s="32">
        <v>748.3</v>
      </c>
      <c r="K20" s="32">
        <v>279.83</v>
      </c>
      <c r="L20" s="32">
        <v>471.77</v>
      </c>
      <c r="M20" s="32"/>
      <c r="N20" s="32"/>
      <c r="O20" s="76">
        <f t="shared" si="7"/>
        <v>3533.98</v>
      </c>
      <c r="P20" s="85">
        <f t="shared" si="8"/>
        <v>8.1294499156110492E-2</v>
      </c>
      <c r="Q20" s="86">
        <f>O20/O10</f>
        <v>2.5571490593342983</v>
      </c>
      <c r="R20" s="283">
        <f t="shared" si="9"/>
        <v>1541.0099999999998</v>
      </c>
    </row>
    <row r="21" spans="1:19" x14ac:dyDescent="0.25">
      <c r="A21" s="360"/>
      <c r="B21" s="77" t="s">
        <v>37</v>
      </c>
      <c r="C21" s="32">
        <v>8</v>
      </c>
      <c r="D21" s="32">
        <v>0</v>
      </c>
      <c r="E21" s="32">
        <v>39.5</v>
      </c>
      <c r="F21" s="32">
        <v>11.5</v>
      </c>
      <c r="G21" s="32">
        <v>0</v>
      </c>
      <c r="H21" s="316">
        <v>64</v>
      </c>
      <c r="I21" s="32">
        <v>22.5</v>
      </c>
      <c r="J21" s="32">
        <v>30</v>
      </c>
      <c r="K21" s="32">
        <v>25.5</v>
      </c>
      <c r="L21" s="32">
        <v>11.5</v>
      </c>
      <c r="M21" s="32"/>
      <c r="N21" s="32"/>
      <c r="O21" s="76">
        <f>SUM(C21:N21)</f>
        <v>212.5</v>
      </c>
      <c r="P21" s="85">
        <f t="shared" si="8"/>
        <v>4.8882792405937434E-3</v>
      </c>
      <c r="Q21" s="86">
        <f>O21/O11</f>
        <v>1.7</v>
      </c>
      <c r="R21" s="283">
        <f t="shared" si="9"/>
        <v>142</v>
      </c>
    </row>
    <row r="22" spans="1:19" x14ac:dyDescent="0.25">
      <c r="A22" s="360"/>
      <c r="B22" s="77" t="s">
        <v>54</v>
      </c>
      <c r="C22" s="32">
        <v>65</v>
      </c>
      <c r="D22" s="32">
        <v>753.5</v>
      </c>
      <c r="E22" s="32">
        <v>1479</v>
      </c>
      <c r="F22" s="32">
        <v>1814</v>
      </c>
      <c r="G22" s="208">
        <v>2013.5</v>
      </c>
      <c r="H22" s="316">
        <v>897</v>
      </c>
      <c r="I22" s="32">
        <v>736</v>
      </c>
      <c r="J22" s="32">
        <v>90</v>
      </c>
      <c r="K22" s="32">
        <v>1539</v>
      </c>
      <c r="L22" s="32">
        <v>3555</v>
      </c>
      <c r="M22" s="32"/>
      <c r="N22" s="32"/>
      <c r="O22" s="76">
        <f t="shared" ref="O22:O26" si="10">SUM(C22:N22)</f>
        <v>12942</v>
      </c>
      <c r="P22" s="85">
        <f t="shared" si="8"/>
        <v>0.29771345850241993</v>
      </c>
      <c r="Q22" s="86">
        <f>O22/O13</f>
        <v>4.2101496421600517</v>
      </c>
      <c r="R22" s="283">
        <f t="shared" si="9"/>
        <v>3262</v>
      </c>
    </row>
    <row r="23" spans="1:19" x14ac:dyDescent="0.25">
      <c r="A23" s="360"/>
      <c r="B23" s="77" t="s">
        <v>71</v>
      </c>
      <c r="C23" s="32">
        <v>52.5</v>
      </c>
      <c r="D23" s="32">
        <v>27.16</v>
      </c>
      <c r="E23" s="32">
        <v>56</v>
      </c>
      <c r="F23" s="32">
        <v>11.64</v>
      </c>
      <c r="G23" s="32">
        <v>57.76</v>
      </c>
      <c r="H23" s="316">
        <v>18.88</v>
      </c>
      <c r="I23" s="32">
        <v>12</v>
      </c>
      <c r="J23" s="32">
        <v>0</v>
      </c>
      <c r="K23" s="32">
        <v>20</v>
      </c>
      <c r="L23" s="32">
        <v>0</v>
      </c>
      <c r="M23" s="32"/>
      <c r="N23" s="32"/>
      <c r="O23" s="76">
        <f t="shared" si="10"/>
        <v>255.94</v>
      </c>
      <c r="P23" s="85">
        <f t="shared" si="8"/>
        <v>5.8875585357061775E-3</v>
      </c>
      <c r="Q23" s="86">
        <f>O23/O14</f>
        <v>4.8290566037735845</v>
      </c>
      <c r="R23" s="283">
        <f>SUM(H23:K23)</f>
        <v>50.879999999999995</v>
      </c>
    </row>
    <row r="24" spans="1:19" x14ac:dyDescent="0.25">
      <c r="A24" s="360"/>
      <c r="B24" s="77" t="s">
        <v>98</v>
      </c>
      <c r="C24" s="32"/>
      <c r="D24" s="32"/>
      <c r="E24" s="32"/>
      <c r="F24" s="32"/>
      <c r="G24" s="32"/>
      <c r="H24" s="316"/>
      <c r="I24" s="32">
        <v>121.42</v>
      </c>
      <c r="J24" s="32">
        <v>531.26</v>
      </c>
      <c r="K24" s="32">
        <v>478.62</v>
      </c>
      <c r="L24" s="32">
        <v>273.54000000000002</v>
      </c>
      <c r="M24" s="32"/>
      <c r="N24" s="32"/>
      <c r="O24" s="76">
        <f t="shared" si="10"/>
        <v>1404.84</v>
      </c>
      <c r="P24" s="85">
        <f t="shared" si="8"/>
        <v>3.2316471568732776E-2</v>
      </c>
      <c r="Q24" s="86">
        <f>O24/O12</f>
        <v>7.0241999999999996</v>
      </c>
      <c r="R24" s="283">
        <f t="shared" si="9"/>
        <v>1131.3</v>
      </c>
    </row>
    <row r="25" spans="1:19" x14ac:dyDescent="0.25">
      <c r="A25" s="360"/>
      <c r="B25" s="77" t="s">
        <v>61</v>
      </c>
      <c r="C25" s="32">
        <v>40</v>
      </c>
      <c r="D25" s="32">
        <v>31.2</v>
      </c>
      <c r="E25" s="32">
        <v>82.2</v>
      </c>
      <c r="F25" s="32">
        <v>31.2</v>
      </c>
      <c r="G25" s="32">
        <v>24</v>
      </c>
      <c r="H25" s="316">
        <v>65.8</v>
      </c>
      <c r="I25" s="32">
        <v>107.6</v>
      </c>
      <c r="J25" s="32">
        <v>157.6</v>
      </c>
      <c r="K25" s="32">
        <v>45.6</v>
      </c>
      <c r="L25" s="32">
        <v>38.4</v>
      </c>
      <c r="M25" s="32"/>
      <c r="N25" s="32"/>
      <c r="O25" s="76">
        <f t="shared" si="10"/>
        <v>623.6</v>
      </c>
      <c r="P25" s="85">
        <f t="shared" si="8"/>
        <v>1.4345086750278865E-2</v>
      </c>
      <c r="R25" s="283"/>
      <c r="S25" s="85"/>
    </row>
    <row r="26" spans="1:19" ht="15.75" thickBot="1" x14ac:dyDescent="0.3">
      <c r="A26" s="361"/>
      <c r="B26" s="78" t="s">
        <v>58</v>
      </c>
      <c r="C26" s="32">
        <v>2</v>
      </c>
      <c r="D26" s="32">
        <v>19</v>
      </c>
      <c r="E26" s="32">
        <v>94</v>
      </c>
      <c r="F26" s="32">
        <v>128.5</v>
      </c>
      <c r="G26" s="32">
        <v>41</v>
      </c>
      <c r="H26" s="316">
        <v>27.6</v>
      </c>
      <c r="I26" s="32">
        <v>76.5</v>
      </c>
      <c r="J26" s="32">
        <v>48.7</v>
      </c>
      <c r="K26" s="345">
        <v>25.6</v>
      </c>
      <c r="L26" s="32">
        <v>44.4</v>
      </c>
      <c r="M26" s="32"/>
      <c r="N26" s="32"/>
      <c r="O26" s="76">
        <f t="shared" si="10"/>
        <v>507.3</v>
      </c>
      <c r="P26" s="85">
        <f t="shared" si="8"/>
        <v>1.1669760276485676E-2</v>
      </c>
      <c r="R26" s="283"/>
      <c r="S26" s="85"/>
    </row>
    <row r="27" spans="1:19" ht="15.75" thickBot="1" x14ac:dyDescent="0.3">
      <c r="B27" s="223"/>
      <c r="C27" s="227">
        <f t="shared" ref="C27:O27" si="11">SUM(C18:C26)</f>
        <v>2515.91</v>
      </c>
      <c r="D27" s="231">
        <f t="shared" si="11"/>
        <v>2829.4599999999996</v>
      </c>
      <c r="E27" s="231">
        <f t="shared" si="11"/>
        <v>2786.0099999999998</v>
      </c>
      <c r="F27" s="231">
        <f t="shared" si="11"/>
        <v>8729.7099999999991</v>
      </c>
      <c r="G27" s="231">
        <f t="shared" si="11"/>
        <v>3847.8100000000004</v>
      </c>
      <c r="H27" s="231">
        <f t="shared" si="11"/>
        <v>2449.6600000000003</v>
      </c>
      <c r="I27" s="231">
        <f t="shared" si="11"/>
        <v>3245.58</v>
      </c>
      <c r="J27" s="231">
        <f t="shared" si="11"/>
        <v>5172.8600000000006</v>
      </c>
      <c r="K27" s="231">
        <f t="shared" si="11"/>
        <v>5439.1500000000005</v>
      </c>
      <c r="L27" s="231">
        <f t="shared" si="11"/>
        <v>6455.1799999999994</v>
      </c>
      <c r="M27" s="231">
        <f t="shared" si="11"/>
        <v>0</v>
      </c>
      <c r="N27" s="231">
        <f t="shared" si="11"/>
        <v>0</v>
      </c>
      <c r="O27" s="232">
        <f t="shared" si="11"/>
        <v>43471.329999999994</v>
      </c>
      <c r="P27" s="85"/>
      <c r="R27" s="283">
        <f>SUM(R18:R26)</f>
        <v>15752.249999999998</v>
      </c>
      <c r="S27" s="93"/>
    </row>
    <row r="28" spans="1:19" ht="15.75" thickBot="1" x14ac:dyDescent="0.3">
      <c r="B28" s="223"/>
      <c r="C28" s="264"/>
      <c r="D28" s="264"/>
      <c r="E28" s="264"/>
      <c r="F28" s="264"/>
      <c r="G28" s="264"/>
      <c r="H28" s="264"/>
      <c r="I28" s="264"/>
      <c r="J28" s="264"/>
      <c r="K28" s="264"/>
      <c r="L28" s="264"/>
      <c r="M28" s="264"/>
      <c r="N28" s="264"/>
      <c r="O28" s="264"/>
      <c r="P28" s="85"/>
    </row>
    <row r="29" spans="1:19" ht="15.75" thickBot="1" x14ac:dyDescent="0.3">
      <c r="A29" s="383">
        <v>2021</v>
      </c>
      <c r="B29" s="384"/>
      <c r="C29" s="384"/>
      <c r="D29" s="384"/>
      <c r="E29" s="384"/>
      <c r="F29" s="384"/>
      <c r="G29" s="384"/>
      <c r="H29" s="384"/>
      <c r="I29" s="384"/>
      <c r="J29" s="384"/>
      <c r="K29" s="384"/>
      <c r="L29" s="384"/>
      <c r="M29" s="384"/>
      <c r="N29" s="384"/>
      <c r="O29" s="385"/>
    </row>
    <row r="30" spans="1:19" ht="15.75" thickBot="1" x14ac:dyDescent="0.3">
      <c r="A30" s="386"/>
      <c r="B30" s="358"/>
      <c r="C30" s="119" t="s">
        <v>45</v>
      </c>
      <c r="D30" s="119" t="s">
        <v>46</v>
      </c>
      <c r="E30" s="119" t="s">
        <v>47</v>
      </c>
      <c r="F30" s="119" t="s">
        <v>48</v>
      </c>
      <c r="G30" s="119" t="s">
        <v>49</v>
      </c>
      <c r="H30" s="119" t="s">
        <v>50</v>
      </c>
      <c r="I30" s="119" t="s">
        <v>51</v>
      </c>
      <c r="J30" s="119" t="s">
        <v>52</v>
      </c>
      <c r="K30" s="119" t="s">
        <v>44</v>
      </c>
      <c r="L30" s="119" t="s">
        <v>43</v>
      </c>
      <c r="M30" s="119" t="s">
        <v>41</v>
      </c>
      <c r="N30" s="119" t="s">
        <v>42</v>
      </c>
      <c r="O30" s="120" t="s">
        <v>57</v>
      </c>
      <c r="P30" s="379" t="s">
        <v>60</v>
      </c>
      <c r="Q30" s="380"/>
    </row>
    <row r="31" spans="1:19" x14ac:dyDescent="0.25">
      <c r="A31" s="359" t="s">
        <v>56</v>
      </c>
      <c r="B31" s="80" t="s">
        <v>55</v>
      </c>
      <c r="C31" s="127">
        <v>7</v>
      </c>
      <c r="D31" s="127">
        <v>14</v>
      </c>
      <c r="E31" s="127">
        <v>49</v>
      </c>
      <c r="F31" s="127">
        <f>'[1]RESUM ANUAL'!$F$3</f>
        <v>23</v>
      </c>
      <c r="G31" s="127">
        <f>'[1]RESUM ANUAL'!$G$3</f>
        <v>35</v>
      </c>
      <c r="H31" s="127">
        <v>26</v>
      </c>
      <c r="I31" s="127">
        <v>2</v>
      </c>
      <c r="J31" s="127">
        <v>0</v>
      </c>
      <c r="K31" s="127">
        <v>0</v>
      </c>
      <c r="L31" s="127">
        <v>0</v>
      </c>
      <c r="M31" s="127">
        <v>0</v>
      </c>
      <c r="N31" s="127">
        <v>3</v>
      </c>
      <c r="O31" s="94">
        <f>SUM(C31:N31)</f>
        <v>159</v>
      </c>
      <c r="P31" s="101">
        <f>O31/(O31+O32)</f>
        <v>3.491436100131752E-2</v>
      </c>
    </row>
    <row r="32" spans="1:19" ht="15.75" thickBot="1" x14ac:dyDescent="0.3">
      <c r="A32" s="361"/>
      <c r="B32" s="82" t="s">
        <v>63</v>
      </c>
      <c r="C32" s="83">
        <v>34</v>
      </c>
      <c r="D32" s="83">
        <v>75</v>
      </c>
      <c r="E32" s="83">
        <v>229</v>
      </c>
      <c r="F32" s="83">
        <v>290</v>
      </c>
      <c r="G32" s="83">
        <v>526</v>
      </c>
      <c r="H32" s="83">
        <v>387</v>
      </c>
      <c r="I32" s="83">
        <v>411</v>
      </c>
      <c r="J32" s="83">
        <v>836</v>
      </c>
      <c r="K32" s="83">
        <v>703</v>
      </c>
      <c r="L32" s="83">
        <v>432</v>
      </c>
      <c r="M32" s="83">
        <v>239</v>
      </c>
      <c r="N32" s="83">
        <v>233</v>
      </c>
      <c r="O32" s="96">
        <f>SUM(C32:N32)</f>
        <v>4395</v>
      </c>
      <c r="P32" s="101">
        <f>O32/(O31+O32)</f>
        <v>0.96508563899868249</v>
      </c>
    </row>
    <row r="33" spans="1:18" s="121" customFormat="1" ht="15.75" thickBot="1" x14ac:dyDescent="0.3">
      <c r="A33" s="332"/>
      <c r="B33" s="221"/>
      <c r="C33" s="228">
        <f>SUM(C31:C32)</f>
        <v>41</v>
      </c>
      <c r="D33" s="229">
        <f t="shared" ref="D33:N33" si="12">SUM(D31:D32)</f>
        <v>89</v>
      </c>
      <c r="E33" s="229">
        <f t="shared" si="12"/>
        <v>278</v>
      </c>
      <c r="F33" s="229">
        <f t="shared" si="12"/>
        <v>313</v>
      </c>
      <c r="G33" s="229">
        <f t="shared" si="12"/>
        <v>561</v>
      </c>
      <c r="H33" s="229">
        <f t="shared" si="12"/>
        <v>413</v>
      </c>
      <c r="I33" s="229">
        <f t="shared" si="12"/>
        <v>413</v>
      </c>
      <c r="J33" s="229">
        <f t="shared" si="12"/>
        <v>836</v>
      </c>
      <c r="K33" s="229">
        <f t="shared" si="12"/>
        <v>703</v>
      </c>
      <c r="L33" s="229">
        <f t="shared" si="12"/>
        <v>432</v>
      </c>
      <c r="M33" s="229">
        <f t="shared" si="12"/>
        <v>239</v>
      </c>
      <c r="N33" s="229">
        <f t="shared" si="12"/>
        <v>236</v>
      </c>
      <c r="O33" s="230">
        <f>SUM(O31:O32)</f>
        <v>4554</v>
      </c>
      <c r="P33" s="101"/>
      <c r="Q33"/>
    </row>
    <row r="34" spans="1:18" ht="15.75" thickBot="1" x14ac:dyDescent="0.3">
      <c r="A34" s="222"/>
      <c r="B34" s="221"/>
      <c r="C34" s="204"/>
      <c r="D34" s="204"/>
      <c r="E34" s="204"/>
      <c r="F34" s="204"/>
      <c r="G34" s="204"/>
      <c r="H34" s="204"/>
      <c r="I34" s="204"/>
      <c r="J34" s="204"/>
      <c r="K34" s="204"/>
      <c r="L34" s="204"/>
      <c r="M34" s="204"/>
      <c r="N34" s="204"/>
      <c r="O34" s="225"/>
      <c r="P34" s="101"/>
    </row>
    <row r="35" spans="1:18" ht="15.75" thickBot="1" x14ac:dyDescent="0.3">
      <c r="A35" s="357"/>
      <c r="B35" s="358"/>
      <c r="C35" s="205" t="s">
        <v>45</v>
      </c>
      <c r="D35" s="205" t="s">
        <v>46</v>
      </c>
      <c r="E35" s="205" t="s">
        <v>47</v>
      </c>
      <c r="F35" s="205" t="s">
        <v>48</v>
      </c>
      <c r="G35" s="205" t="s">
        <v>49</v>
      </c>
      <c r="H35" s="205" t="s">
        <v>50</v>
      </c>
      <c r="I35" s="205" t="s">
        <v>51</v>
      </c>
      <c r="J35" s="205" t="s">
        <v>52</v>
      </c>
      <c r="K35" s="205" t="s">
        <v>44</v>
      </c>
      <c r="L35" s="205" t="s">
        <v>43</v>
      </c>
      <c r="M35" s="205" t="s">
        <v>41</v>
      </c>
      <c r="N35" s="205" t="s">
        <v>42</v>
      </c>
      <c r="O35" s="206" t="s">
        <v>57</v>
      </c>
      <c r="P35" s="379" t="s">
        <v>60</v>
      </c>
      <c r="Q35" s="380"/>
      <c r="R35" s="106"/>
    </row>
    <row r="36" spans="1:18" x14ac:dyDescent="0.25">
      <c r="A36" s="359" t="s">
        <v>38</v>
      </c>
      <c r="B36" s="79" t="s">
        <v>35</v>
      </c>
      <c r="C36" s="127">
        <v>51</v>
      </c>
      <c r="D36" s="127">
        <v>84</v>
      </c>
      <c r="E36" s="127">
        <v>183</v>
      </c>
      <c r="F36" s="127">
        <f>[1]Abril!$I$183</f>
        <v>424</v>
      </c>
      <c r="G36" s="127">
        <f>'[1]RESUM ANUAL'!$G$4</f>
        <v>456</v>
      </c>
      <c r="H36" s="127">
        <v>300</v>
      </c>
      <c r="I36" s="127">
        <v>426</v>
      </c>
      <c r="J36" s="127">
        <v>1157</v>
      </c>
      <c r="K36" s="127">
        <v>844</v>
      </c>
      <c r="L36" s="127">
        <v>561</v>
      </c>
      <c r="M36" s="127">
        <v>260</v>
      </c>
      <c r="N36" s="127">
        <v>259</v>
      </c>
      <c r="O36" s="94">
        <f t="shared" ref="O36:O42" si="13">SUM(C36:N36)</f>
        <v>5005</v>
      </c>
      <c r="P36" s="101">
        <f t="shared" ref="P36:P42" si="14">O36/$R$40</f>
        <v>0.5265649658074697</v>
      </c>
    </row>
    <row r="37" spans="1:18" x14ac:dyDescent="0.25">
      <c r="A37" s="360"/>
      <c r="B37" s="77" t="s">
        <v>53</v>
      </c>
      <c r="C37" s="129">
        <v>7</v>
      </c>
      <c r="D37" s="129">
        <v>14</v>
      </c>
      <c r="E37" s="104">
        <v>64</v>
      </c>
      <c r="F37" s="104">
        <f>'[1]RESUM ANUAL'!$F$8</f>
        <v>93</v>
      </c>
      <c r="G37" s="129">
        <f>'[1]RESUM ANUAL'!$G$8</f>
        <v>113</v>
      </c>
      <c r="H37" s="129">
        <v>77</v>
      </c>
      <c r="I37" s="129">
        <v>79</v>
      </c>
      <c r="J37" s="129">
        <v>180</v>
      </c>
      <c r="K37" s="129">
        <v>92</v>
      </c>
      <c r="L37" s="129">
        <v>174</v>
      </c>
      <c r="M37" s="129">
        <v>161</v>
      </c>
      <c r="N37" s="129">
        <v>70</v>
      </c>
      <c r="O37" s="95">
        <f t="shared" si="13"/>
        <v>1124</v>
      </c>
      <c r="P37" s="101">
        <f t="shared" si="14"/>
        <v>0.11825355076275644</v>
      </c>
      <c r="Q37" s="93"/>
    </row>
    <row r="38" spans="1:18" x14ac:dyDescent="0.25">
      <c r="A38" s="360"/>
      <c r="B38" s="77" t="s">
        <v>36</v>
      </c>
      <c r="C38" s="129">
        <v>9</v>
      </c>
      <c r="D38" s="129">
        <v>19</v>
      </c>
      <c r="E38" s="129">
        <v>62</v>
      </c>
      <c r="F38" s="104">
        <f>'[2]TOTALS BOTIGA 2021'!$I$6</f>
        <v>114</v>
      </c>
      <c r="G38" s="104">
        <f>'[2]TOTALS BOTIGA 2021'!$I$7</f>
        <v>216</v>
      </c>
      <c r="H38" s="129">
        <v>91</v>
      </c>
      <c r="I38" s="129">
        <v>111</v>
      </c>
      <c r="J38" s="129">
        <v>447</v>
      </c>
      <c r="K38" s="129">
        <v>176</v>
      </c>
      <c r="L38" s="129">
        <v>122</v>
      </c>
      <c r="M38" s="129">
        <v>56</v>
      </c>
      <c r="N38" s="207">
        <f>[2]Desembre!$I$34+[2]Desembre!$I$47</f>
        <v>78</v>
      </c>
      <c r="O38" s="95">
        <f t="shared" si="13"/>
        <v>1501</v>
      </c>
      <c r="P38" s="101">
        <f t="shared" si="14"/>
        <v>0.15791688584955288</v>
      </c>
    </row>
    <row r="39" spans="1:18" x14ac:dyDescent="0.25">
      <c r="A39" s="360"/>
      <c r="B39" s="77" t="s">
        <v>37</v>
      </c>
      <c r="C39" s="129">
        <v>0</v>
      </c>
      <c r="D39" s="129">
        <v>2</v>
      </c>
      <c r="E39" s="129">
        <v>3</v>
      </c>
      <c r="F39" s="129">
        <f>4</f>
        <v>4</v>
      </c>
      <c r="G39" s="207">
        <f>'[2]TOTALS BOTIGA 2021'!$F$7</f>
        <v>14</v>
      </c>
      <c r="H39" s="129">
        <v>16</v>
      </c>
      <c r="I39" s="129">
        <v>17</v>
      </c>
      <c r="J39" s="129">
        <v>27</v>
      </c>
      <c r="K39" s="129">
        <v>6</v>
      </c>
      <c r="L39" s="129">
        <v>96</v>
      </c>
      <c r="M39" s="129">
        <v>14</v>
      </c>
      <c r="N39" s="207">
        <f>[2]Desembre!$I$57</f>
        <v>14</v>
      </c>
      <c r="O39" s="95">
        <f t="shared" si="13"/>
        <v>213</v>
      </c>
      <c r="P39" s="101">
        <f t="shared" si="14"/>
        <v>2.2409258285113098E-2</v>
      </c>
      <c r="R39" t="s">
        <v>72</v>
      </c>
    </row>
    <row r="40" spans="1:18" x14ac:dyDescent="0.25">
      <c r="A40" s="360"/>
      <c r="B40" s="77" t="s">
        <v>54</v>
      </c>
      <c r="C40" s="129">
        <v>0</v>
      </c>
      <c r="D40" s="129">
        <v>51</v>
      </c>
      <c r="E40" s="129">
        <v>47</v>
      </c>
      <c r="F40" s="129">
        <v>50</v>
      </c>
      <c r="G40" s="129">
        <v>96</v>
      </c>
      <c r="H40" s="129">
        <v>20</v>
      </c>
      <c r="I40" s="129">
        <v>152</v>
      </c>
      <c r="J40" s="129">
        <v>56</v>
      </c>
      <c r="K40" s="129">
        <v>137</v>
      </c>
      <c r="L40" s="129">
        <v>352</v>
      </c>
      <c r="M40" s="129">
        <v>330</v>
      </c>
      <c r="N40" s="129">
        <v>168</v>
      </c>
      <c r="O40" s="95">
        <f t="shared" si="13"/>
        <v>1459</v>
      </c>
      <c r="P40" s="101">
        <f t="shared" si="14"/>
        <v>0.15349815886375592</v>
      </c>
      <c r="R40" s="192">
        <f>SUM(O36:O42)</f>
        <v>9505</v>
      </c>
    </row>
    <row r="41" spans="1:18" x14ac:dyDescent="0.25">
      <c r="A41" s="360"/>
      <c r="B41" s="77" t="s">
        <v>71</v>
      </c>
      <c r="C41" s="191"/>
      <c r="D41" s="191"/>
      <c r="E41" s="191"/>
      <c r="F41" s="191">
        <v>22</v>
      </c>
      <c r="G41" s="191">
        <v>0</v>
      </c>
      <c r="H41" s="191">
        <v>6</v>
      </c>
      <c r="I41" s="191">
        <v>13</v>
      </c>
      <c r="J41" s="191">
        <v>29</v>
      </c>
      <c r="K41" s="191">
        <v>36</v>
      </c>
      <c r="L41" s="191">
        <v>18</v>
      </c>
      <c r="M41" s="191">
        <v>19</v>
      </c>
      <c r="N41" s="191">
        <v>4</v>
      </c>
      <c r="O41" s="95">
        <f t="shared" si="13"/>
        <v>147</v>
      </c>
      <c r="P41" s="101">
        <f t="shared" si="14"/>
        <v>1.5465544450289321E-2</v>
      </c>
      <c r="R41" s="192"/>
    </row>
    <row r="42" spans="1:18" ht="15.75" thickBot="1" x14ac:dyDescent="0.3">
      <c r="A42" s="361"/>
      <c r="B42" s="78" t="s">
        <v>40</v>
      </c>
      <c r="C42" s="204">
        <v>56</v>
      </c>
      <c r="D42" s="204">
        <v>0</v>
      </c>
      <c r="E42" s="204">
        <v>0</v>
      </c>
      <c r="F42" s="204">
        <v>0</v>
      </c>
      <c r="G42" s="204">
        <v>0</v>
      </c>
      <c r="H42" s="204">
        <v>0</v>
      </c>
      <c r="I42" s="204">
        <v>0</v>
      </c>
      <c r="J42" s="204">
        <v>0</v>
      </c>
      <c r="K42" s="204">
        <v>0</v>
      </c>
      <c r="L42" s="204">
        <v>0</v>
      </c>
      <c r="M42" s="204">
        <v>0</v>
      </c>
      <c r="N42" s="204">
        <v>0</v>
      </c>
      <c r="O42" s="95">
        <f t="shared" si="13"/>
        <v>56</v>
      </c>
      <c r="P42" s="101">
        <f t="shared" si="14"/>
        <v>5.8916359810625984E-3</v>
      </c>
      <c r="R42" s="192" t="s">
        <v>101</v>
      </c>
    </row>
    <row r="43" spans="1:18" s="121" customFormat="1" ht="15.75" thickBot="1" x14ac:dyDescent="0.3">
      <c r="A43" s="223"/>
      <c r="B43" s="223"/>
      <c r="C43" s="228">
        <f>SUM(C36:C42)</f>
        <v>123</v>
      </c>
      <c r="D43" s="229">
        <f t="shared" ref="D43:O43" si="15">SUM(D36:D42)</f>
        <v>170</v>
      </c>
      <c r="E43" s="229">
        <f t="shared" si="15"/>
        <v>359</v>
      </c>
      <c r="F43" s="229">
        <f t="shared" si="15"/>
        <v>707</v>
      </c>
      <c r="G43" s="229">
        <f t="shared" si="15"/>
        <v>895</v>
      </c>
      <c r="H43" s="229">
        <f t="shared" si="15"/>
        <v>510</v>
      </c>
      <c r="I43" s="229">
        <f t="shared" si="15"/>
        <v>798</v>
      </c>
      <c r="J43" s="229">
        <f t="shared" si="15"/>
        <v>1896</v>
      </c>
      <c r="K43" s="229">
        <f t="shared" si="15"/>
        <v>1291</v>
      </c>
      <c r="L43" s="229">
        <f t="shared" si="15"/>
        <v>1323</v>
      </c>
      <c r="M43" s="229">
        <f t="shared" si="15"/>
        <v>840</v>
      </c>
      <c r="N43" s="229">
        <f t="shared" si="15"/>
        <v>593</v>
      </c>
      <c r="O43" s="230">
        <f t="shared" si="15"/>
        <v>9505</v>
      </c>
      <c r="P43" s="101"/>
      <c r="Q43"/>
      <c r="R43" s="121">
        <f>SUM(H43:K43)</f>
        <v>4495</v>
      </c>
    </row>
    <row r="44" spans="1:18" ht="15.75" thickBot="1" x14ac:dyDescent="0.3">
      <c r="A44" s="222"/>
      <c r="B44" s="223"/>
      <c r="C44" s="204"/>
      <c r="D44" s="204"/>
      <c r="E44" s="204"/>
      <c r="F44" s="204"/>
      <c r="G44" s="204"/>
      <c r="H44" s="204"/>
      <c r="I44" s="204"/>
      <c r="J44" s="204"/>
      <c r="K44" s="204"/>
      <c r="L44" s="204"/>
      <c r="M44" s="204"/>
      <c r="N44" s="204"/>
      <c r="O44" s="226"/>
      <c r="P44" s="101"/>
    </row>
    <row r="45" spans="1:18" ht="15.75" thickBot="1" x14ac:dyDescent="0.3">
      <c r="A45" s="357"/>
      <c r="B45" s="358"/>
      <c r="C45" s="205" t="s">
        <v>45</v>
      </c>
      <c r="D45" s="205" t="s">
        <v>46</v>
      </c>
      <c r="E45" s="205" t="s">
        <v>47</v>
      </c>
      <c r="F45" s="205" t="s">
        <v>48</v>
      </c>
      <c r="G45" s="205" t="s">
        <v>49</v>
      </c>
      <c r="H45" s="205" t="s">
        <v>50</v>
      </c>
      <c r="I45" s="205" t="s">
        <v>51</v>
      </c>
      <c r="J45" s="205" t="s">
        <v>52</v>
      </c>
      <c r="K45" s="205" t="s">
        <v>44</v>
      </c>
      <c r="L45" s="205" t="s">
        <v>43</v>
      </c>
      <c r="M45" s="205" t="s">
        <v>41</v>
      </c>
      <c r="N45" s="205" t="s">
        <v>42</v>
      </c>
      <c r="O45" s="206" t="s">
        <v>57</v>
      </c>
      <c r="P45" s="128" t="s">
        <v>59</v>
      </c>
      <c r="Q45" s="128" t="s">
        <v>16</v>
      </c>
    </row>
    <row r="46" spans="1:18" x14ac:dyDescent="0.25">
      <c r="A46" s="359" t="s">
        <v>39</v>
      </c>
      <c r="B46" s="79" t="s">
        <v>35</v>
      </c>
      <c r="C46" s="102">
        <v>152</v>
      </c>
      <c r="D46" s="102">
        <v>226</v>
      </c>
      <c r="E46" s="102">
        <v>533</v>
      </c>
      <c r="F46" s="102">
        <f>'[1]RESUM ANUAL'!$F$15</f>
        <v>1230.4599999999998</v>
      </c>
      <c r="G46" s="102">
        <f>'[1]RESUM ANUAL'!$G$15</f>
        <v>1307.0899999999999</v>
      </c>
      <c r="H46" s="102">
        <v>902</v>
      </c>
      <c r="I46" s="102">
        <v>1269</v>
      </c>
      <c r="J46" s="102">
        <v>3628</v>
      </c>
      <c r="K46" s="102">
        <v>2296.4200000000005</v>
      </c>
      <c r="L46" s="102">
        <v>1177</v>
      </c>
      <c r="M46" s="102">
        <v>834</v>
      </c>
      <c r="N46" s="102">
        <v>827</v>
      </c>
      <c r="O46" s="103">
        <f t="shared" ref="O46:O53" si="16">SUM(C46:N46)</f>
        <v>14381.97</v>
      </c>
      <c r="P46" s="85">
        <f>O46/$R$51</f>
        <v>0.42565835562702165</v>
      </c>
      <c r="Q46" s="86">
        <f t="shared" ref="Q46:Q51" si="17">O46/O36</f>
        <v>2.8735204795204794</v>
      </c>
    </row>
    <row r="47" spans="1:18" x14ac:dyDescent="0.25">
      <c r="A47" s="360"/>
      <c r="B47" s="77" t="s">
        <v>53</v>
      </c>
      <c r="C47" s="75">
        <v>34</v>
      </c>
      <c r="D47" s="75">
        <v>66</v>
      </c>
      <c r="E47" s="75">
        <v>311</v>
      </c>
      <c r="F47" s="75">
        <f>'[1]RESUM ANUAL'!$F$16</f>
        <v>440.14</v>
      </c>
      <c r="G47" s="75">
        <f>'[1]RESUM ANUAL'!$G$16</f>
        <v>536.11999999999989</v>
      </c>
      <c r="H47" s="75">
        <v>359</v>
      </c>
      <c r="I47" s="75">
        <v>381</v>
      </c>
      <c r="J47" s="75">
        <v>854</v>
      </c>
      <c r="K47" s="75">
        <v>655.91999999999985</v>
      </c>
      <c r="L47" s="75">
        <v>812</v>
      </c>
      <c r="M47" s="75">
        <v>822</v>
      </c>
      <c r="N47" s="75">
        <v>278</v>
      </c>
      <c r="O47" s="76">
        <f t="shared" si="16"/>
        <v>5549.1799999999994</v>
      </c>
      <c r="P47" s="85">
        <f t="shared" ref="P47:P53" si="18">O47/$R$51</f>
        <v>0.16423722437735275</v>
      </c>
      <c r="Q47" s="86">
        <f t="shared" si="17"/>
        <v>4.9369928825622766</v>
      </c>
    </row>
    <row r="48" spans="1:18" x14ac:dyDescent="0.25">
      <c r="A48" s="360"/>
      <c r="B48" s="77" t="s">
        <v>36</v>
      </c>
      <c r="C48" s="32">
        <v>30.5</v>
      </c>
      <c r="D48" s="32">
        <v>14</v>
      </c>
      <c r="E48" s="32">
        <v>159.19999999999999</v>
      </c>
      <c r="F48" s="32">
        <f>[2]Abril!$J$75</f>
        <v>305.78999999999996</v>
      </c>
      <c r="G48" s="208">
        <f>'[2]TOTALS BOTIGA 2021'!$I$23</f>
        <v>544.69999999999982</v>
      </c>
      <c r="H48" s="32">
        <v>262.70999999999998</v>
      </c>
      <c r="I48" s="32">
        <v>297.72000000000003</v>
      </c>
      <c r="J48" s="32">
        <v>1225.6500000000001</v>
      </c>
      <c r="K48" s="32">
        <v>419.55</v>
      </c>
      <c r="L48" s="32">
        <v>359.15</v>
      </c>
      <c r="M48" s="32">
        <v>166.28</v>
      </c>
      <c r="N48" s="32">
        <f>[2]Desembre!$J$34+[2]Desembre!$J$47</f>
        <v>204.96</v>
      </c>
      <c r="O48" s="76">
        <f t="shared" si="16"/>
        <v>3990.2100000000005</v>
      </c>
      <c r="P48" s="85">
        <f t="shared" si="18"/>
        <v>0.11809691072964958</v>
      </c>
      <c r="Q48" s="86">
        <f t="shared" si="17"/>
        <v>2.6583677548301137</v>
      </c>
    </row>
    <row r="49" spans="1:18" x14ac:dyDescent="0.25">
      <c r="A49" s="360"/>
      <c r="B49" s="77" t="s">
        <v>37</v>
      </c>
      <c r="C49" s="32">
        <v>0</v>
      </c>
      <c r="D49" s="32">
        <v>3</v>
      </c>
      <c r="E49" s="32">
        <v>5.5</v>
      </c>
      <c r="F49" s="32">
        <v>4</v>
      </c>
      <c r="G49" s="75">
        <f>'[2]TOTALS BOTIGA 2021'!$F$23</f>
        <v>27</v>
      </c>
      <c r="H49" s="32">
        <v>25</v>
      </c>
      <c r="I49" s="32">
        <v>24.5</v>
      </c>
      <c r="J49" s="32">
        <v>48.5</v>
      </c>
      <c r="K49" s="32">
        <v>11.5</v>
      </c>
      <c r="L49" s="32">
        <v>46.5</v>
      </c>
      <c r="M49" s="32">
        <v>25.5</v>
      </c>
      <c r="N49" s="32">
        <f>[2]Desembre!$J$57</f>
        <v>24.5</v>
      </c>
      <c r="O49" s="76">
        <f>SUM(C49:N49)</f>
        <v>245.5</v>
      </c>
      <c r="P49" s="85">
        <f t="shared" si="18"/>
        <v>7.2659813854731876E-3</v>
      </c>
      <c r="Q49" s="86">
        <f t="shared" si="17"/>
        <v>1.1525821596244132</v>
      </c>
    </row>
    <row r="50" spans="1:18" x14ac:dyDescent="0.25">
      <c r="A50" s="360"/>
      <c r="B50" s="77" t="s">
        <v>54</v>
      </c>
      <c r="C50" s="32">
        <v>0</v>
      </c>
      <c r="D50" s="32">
        <f>51*5.75</f>
        <v>293.25</v>
      </c>
      <c r="E50" s="32">
        <v>376</v>
      </c>
      <c r="F50" s="32">
        <v>0</v>
      </c>
      <c r="G50" s="208">
        <v>616</v>
      </c>
      <c r="H50" s="32">
        <v>0</v>
      </c>
      <c r="I50" s="32">
        <v>633</v>
      </c>
      <c r="J50" s="32">
        <v>350</v>
      </c>
      <c r="K50" s="32">
        <v>782</v>
      </c>
      <c r="L50" s="32">
        <v>1993.9</v>
      </c>
      <c r="M50" s="32">
        <v>1573.9</v>
      </c>
      <c r="N50" s="32">
        <v>527.5</v>
      </c>
      <c r="O50" s="76">
        <f t="shared" si="16"/>
        <v>7145.5499999999993</v>
      </c>
      <c r="P50" s="85">
        <f t="shared" si="18"/>
        <v>0.21148445331555166</v>
      </c>
      <c r="Q50" s="86">
        <f t="shared" si="17"/>
        <v>4.8975668265935566</v>
      </c>
      <c r="R50" t="s">
        <v>73</v>
      </c>
    </row>
    <row r="51" spans="1:18" x14ac:dyDescent="0.25">
      <c r="A51" s="360"/>
      <c r="B51" s="77" t="s">
        <v>71</v>
      </c>
      <c r="C51" s="32"/>
      <c r="D51" s="32"/>
      <c r="E51" s="32"/>
      <c r="F51" s="32">
        <v>76.14</v>
      </c>
      <c r="G51" s="32">
        <v>0</v>
      </c>
      <c r="H51" s="32">
        <f>11.64+22</f>
        <v>33.64</v>
      </c>
      <c r="I51" s="32">
        <v>70.08</v>
      </c>
      <c r="J51" s="32">
        <v>123.84</v>
      </c>
      <c r="K51" s="32">
        <v>169.72</v>
      </c>
      <c r="L51" s="32">
        <v>99.12</v>
      </c>
      <c r="M51" s="32">
        <v>91.18</v>
      </c>
      <c r="N51" s="32">
        <f>[2]Desembre!$J$62</f>
        <v>23.28</v>
      </c>
      <c r="O51" s="76">
        <f t="shared" si="16"/>
        <v>687</v>
      </c>
      <c r="P51" s="85">
        <f t="shared" si="18"/>
        <v>2.0332909213116417E-2</v>
      </c>
      <c r="Q51" s="86">
        <f t="shared" si="17"/>
        <v>4.6734693877551017</v>
      </c>
      <c r="R51" s="193">
        <f>SUM(O46:O53)</f>
        <v>33787.589999999997</v>
      </c>
    </row>
    <row r="52" spans="1:18" x14ac:dyDescent="0.25">
      <c r="A52" s="360"/>
      <c r="B52" s="77" t="s">
        <v>61</v>
      </c>
      <c r="C52" s="32">
        <v>21</v>
      </c>
      <c r="D52" s="32">
        <v>5</v>
      </c>
      <c r="E52" s="32">
        <v>39.799999999999997</v>
      </c>
      <c r="F52" s="32">
        <v>17.600000000000001</v>
      </c>
      <c r="G52" s="32">
        <f>[1]Botiga!$D$5</f>
        <v>17.600000000000001</v>
      </c>
      <c r="H52" s="32">
        <v>36.4</v>
      </c>
      <c r="I52" s="32">
        <v>110.6</v>
      </c>
      <c r="J52" s="32">
        <v>151</v>
      </c>
      <c r="K52" s="32">
        <v>92.8</v>
      </c>
      <c r="L52" s="32">
        <v>50</v>
      </c>
      <c r="M52" s="32">
        <v>5.2</v>
      </c>
      <c r="N52" s="32">
        <v>9.6</v>
      </c>
      <c r="O52" s="76">
        <f t="shared" si="16"/>
        <v>556.6</v>
      </c>
      <c r="P52" s="85">
        <f t="shared" si="18"/>
        <v>1.6473504029142064E-2</v>
      </c>
      <c r="R52" s="193"/>
    </row>
    <row r="53" spans="1:18" ht="15.75" thickBot="1" x14ac:dyDescent="0.3">
      <c r="A53" s="361"/>
      <c r="B53" s="78" t="s">
        <v>58</v>
      </c>
      <c r="C53" s="32">
        <v>82.5</v>
      </c>
      <c r="D53" s="32">
        <v>2</v>
      </c>
      <c r="E53" s="32">
        <v>28</v>
      </c>
      <c r="F53" s="32">
        <f>'[2]TOTALS BOTIGA 2021'!$B$6-'[2]TOTALS BOTIGA 2021'!$F$22-'[2]TOTALS BOTIGA 2021'!$I$22</f>
        <v>94.999999999999943</v>
      </c>
      <c r="G53" s="32">
        <v>77</v>
      </c>
      <c r="H53" s="32">
        <v>71.14</v>
      </c>
      <c r="I53" s="32">
        <v>148.58000000000001</v>
      </c>
      <c r="J53" s="32">
        <v>472.64</v>
      </c>
      <c r="K53" s="32">
        <v>93.7</v>
      </c>
      <c r="L53" s="32">
        <v>81.5</v>
      </c>
      <c r="M53" s="32">
        <v>24</v>
      </c>
      <c r="N53" s="32">
        <v>55.52</v>
      </c>
      <c r="O53" s="76">
        <f t="shared" si="16"/>
        <v>1231.58</v>
      </c>
      <c r="P53" s="85">
        <f t="shared" si="18"/>
        <v>3.6450661322692743E-2</v>
      </c>
      <c r="R53" s="193" t="s">
        <v>101</v>
      </c>
    </row>
    <row r="54" spans="1:18" ht="15.75" thickBot="1" x14ac:dyDescent="0.3">
      <c r="B54" s="223"/>
      <c r="C54" s="227">
        <f>SUM(C46:C53)</f>
        <v>320</v>
      </c>
      <c r="D54" s="231">
        <f t="shared" ref="D54:O54" si="19">SUM(D46:D53)</f>
        <v>609.25</v>
      </c>
      <c r="E54" s="231">
        <f t="shared" si="19"/>
        <v>1452.5</v>
      </c>
      <c r="F54" s="231">
        <f t="shared" si="19"/>
        <v>2169.1299999999997</v>
      </c>
      <c r="G54" s="231">
        <f t="shared" si="19"/>
        <v>3125.5099999999998</v>
      </c>
      <c r="H54" s="231">
        <f t="shared" si="19"/>
        <v>1689.8900000000003</v>
      </c>
      <c r="I54" s="231">
        <f t="shared" si="19"/>
        <v>2934.48</v>
      </c>
      <c r="J54" s="231">
        <f t="shared" si="19"/>
        <v>6853.63</v>
      </c>
      <c r="K54" s="231">
        <f t="shared" si="19"/>
        <v>4521.6100000000006</v>
      </c>
      <c r="L54" s="231">
        <f t="shared" si="19"/>
        <v>4619.17</v>
      </c>
      <c r="M54" s="231">
        <f t="shared" si="19"/>
        <v>3542.06</v>
      </c>
      <c r="N54" s="231">
        <f t="shared" si="19"/>
        <v>1950.36</v>
      </c>
      <c r="O54" s="232">
        <f t="shared" si="19"/>
        <v>33787.589999999997</v>
      </c>
      <c r="P54" s="85"/>
      <c r="R54" s="193">
        <f>SUM(H54:K54)</f>
        <v>15999.61</v>
      </c>
    </row>
    <row r="55" spans="1:18" ht="15.75" thickBot="1" x14ac:dyDescent="0.3">
      <c r="B55" s="223"/>
      <c r="C55" s="32"/>
      <c r="D55" s="32"/>
      <c r="E55" s="32"/>
      <c r="F55" s="32"/>
      <c r="G55" s="32"/>
      <c r="H55" s="32"/>
      <c r="I55" s="32"/>
      <c r="J55" s="32"/>
      <c r="K55" s="32"/>
      <c r="L55" s="32"/>
      <c r="M55" s="32"/>
      <c r="N55" s="32"/>
      <c r="O55" s="224"/>
      <c r="P55" s="85"/>
    </row>
    <row r="56" spans="1:18" ht="15.75" thickBot="1" x14ac:dyDescent="0.3">
      <c r="A56" s="383">
        <v>2020</v>
      </c>
      <c r="B56" s="384"/>
      <c r="C56" s="384"/>
      <c r="D56" s="384"/>
      <c r="E56" s="384"/>
      <c r="F56" s="384"/>
      <c r="G56" s="384"/>
      <c r="H56" s="384"/>
      <c r="I56" s="384"/>
      <c r="J56" s="384"/>
      <c r="K56" s="384"/>
      <c r="L56" s="384"/>
      <c r="M56" s="384"/>
      <c r="N56" s="384"/>
      <c r="O56" s="385"/>
    </row>
    <row r="57" spans="1:18" ht="15.75" thickBot="1" x14ac:dyDescent="0.3">
      <c r="A57" s="386"/>
      <c r="B57" s="358"/>
      <c r="C57" s="119" t="s">
        <v>45</v>
      </c>
      <c r="D57" s="119" t="s">
        <v>46</v>
      </c>
      <c r="E57" s="119" t="s">
        <v>47</v>
      </c>
      <c r="F57" s="119" t="s">
        <v>48</v>
      </c>
      <c r="G57" s="119" t="s">
        <v>49</v>
      </c>
      <c r="H57" s="119" t="s">
        <v>50</v>
      </c>
      <c r="I57" s="119" t="s">
        <v>51</v>
      </c>
      <c r="J57" s="119" t="s">
        <v>52</v>
      </c>
      <c r="K57" s="119" t="s">
        <v>44</v>
      </c>
      <c r="L57" s="119" t="s">
        <v>43</v>
      </c>
      <c r="M57" s="119" t="s">
        <v>41</v>
      </c>
      <c r="N57" s="119" t="s">
        <v>42</v>
      </c>
      <c r="O57" s="120" t="s">
        <v>57</v>
      </c>
      <c r="P57" s="379" t="s">
        <v>60</v>
      </c>
      <c r="Q57" s="380"/>
    </row>
    <row r="58" spans="1:18" x14ac:dyDescent="0.25">
      <c r="A58" s="359" t="s">
        <v>56</v>
      </c>
      <c r="B58" s="80" t="s">
        <v>55</v>
      </c>
      <c r="C58" s="81">
        <v>11</v>
      </c>
      <c r="D58" s="81">
        <v>18</v>
      </c>
      <c r="E58" s="81">
        <v>8</v>
      </c>
      <c r="F58" s="81">
        <v>0</v>
      </c>
      <c r="G58" s="81">
        <v>0</v>
      </c>
      <c r="H58" s="81">
        <v>12</v>
      </c>
      <c r="I58" s="81">
        <v>114</v>
      </c>
      <c r="J58" s="81">
        <v>100</v>
      </c>
      <c r="K58" s="81">
        <v>115</v>
      </c>
      <c r="L58" s="81">
        <v>63</v>
      </c>
      <c r="M58" s="81">
        <v>0</v>
      </c>
      <c r="N58" s="81">
        <f>'[3]RESUM ANUAL'!$N$3</f>
        <v>53</v>
      </c>
      <c r="O58" s="94">
        <f>SUM(C58:N58)</f>
        <v>494</v>
      </c>
      <c r="P58" s="101">
        <f>O58/($O$58+$O$59)</f>
        <v>0.14406532516768739</v>
      </c>
    </row>
    <row r="59" spans="1:18" s="121" customFormat="1" ht="15.75" thickBot="1" x14ac:dyDescent="0.3">
      <c r="A59" s="360"/>
      <c r="B59" s="180" t="s">
        <v>63</v>
      </c>
      <c r="C59" s="83">
        <v>244</v>
      </c>
      <c r="D59" s="83">
        <v>772</v>
      </c>
      <c r="E59" s="83">
        <v>211</v>
      </c>
      <c r="F59" s="83">
        <v>0</v>
      </c>
      <c r="G59" s="83">
        <v>18</v>
      </c>
      <c r="H59" s="83">
        <v>96</v>
      </c>
      <c r="I59" s="83">
        <v>282</v>
      </c>
      <c r="J59" s="83">
        <v>448</v>
      </c>
      <c r="K59" s="83">
        <v>239</v>
      </c>
      <c r="L59" s="83">
        <v>337</v>
      </c>
      <c r="M59" s="83">
        <v>104</v>
      </c>
      <c r="N59" s="83">
        <v>184</v>
      </c>
      <c r="O59" s="96">
        <f>SUM(C59:N59)</f>
        <v>2935</v>
      </c>
      <c r="P59" s="101">
        <f>O59/($O$58+$O$59)</f>
        <v>0.85593467483231267</v>
      </c>
      <c r="Q59"/>
    </row>
    <row r="60" spans="1:18" ht="15.75" thickBot="1" x14ac:dyDescent="0.3">
      <c r="A60" s="331"/>
      <c r="B60" s="333"/>
      <c r="C60" s="317">
        <f>SUM(C58:C59)</f>
        <v>255</v>
      </c>
      <c r="D60" s="317">
        <f t="shared" ref="D60:O60" si="20">SUM(D58:D59)</f>
        <v>790</v>
      </c>
      <c r="E60" s="317">
        <f t="shared" si="20"/>
        <v>219</v>
      </c>
      <c r="F60" s="317">
        <f t="shared" si="20"/>
        <v>0</v>
      </c>
      <c r="G60" s="317">
        <f t="shared" si="20"/>
        <v>18</v>
      </c>
      <c r="H60" s="317">
        <f t="shared" si="20"/>
        <v>108</v>
      </c>
      <c r="I60" s="317">
        <f t="shared" si="20"/>
        <v>396</v>
      </c>
      <c r="J60" s="317">
        <f t="shared" si="20"/>
        <v>548</v>
      </c>
      <c r="K60" s="317">
        <f t="shared" si="20"/>
        <v>354</v>
      </c>
      <c r="L60" s="317">
        <f t="shared" si="20"/>
        <v>400</v>
      </c>
      <c r="M60" s="317">
        <f t="shared" si="20"/>
        <v>104</v>
      </c>
      <c r="N60" s="317">
        <f t="shared" si="20"/>
        <v>237</v>
      </c>
      <c r="O60" s="95">
        <f t="shared" si="20"/>
        <v>3429</v>
      </c>
      <c r="P60" s="101"/>
    </row>
    <row r="61" spans="1:18" ht="15.75" thickBot="1" x14ac:dyDescent="0.3">
      <c r="A61" s="387"/>
      <c r="B61" s="388"/>
      <c r="C61" s="318" t="s">
        <v>45</v>
      </c>
      <c r="D61" s="319" t="s">
        <v>46</v>
      </c>
      <c r="E61" s="319" t="s">
        <v>47</v>
      </c>
      <c r="F61" s="319" t="s">
        <v>48</v>
      </c>
      <c r="G61" s="319" t="s">
        <v>49</v>
      </c>
      <c r="H61" s="319" t="s">
        <v>50</v>
      </c>
      <c r="I61" s="319" t="s">
        <v>51</v>
      </c>
      <c r="J61" s="319" t="s">
        <v>52</v>
      </c>
      <c r="K61" s="319" t="s">
        <v>44</v>
      </c>
      <c r="L61" s="319" t="s">
        <v>43</v>
      </c>
      <c r="M61" s="319" t="s">
        <v>41</v>
      </c>
      <c r="N61" s="319" t="s">
        <v>42</v>
      </c>
      <c r="O61" s="320" t="s">
        <v>57</v>
      </c>
      <c r="P61" s="379" t="s">
        <v>60</v>
      </c>
      <c r="Q61" s="380"/>
      <c r="R61" s="106"/>
    </row>
    <row r="62" spans="1:18" x14ac:dyDescent="0.25">
      <c r="A62" s="359" t="s">
        <v>38</v>
      </c>
      <c r="B62" s="79" t="s">
        <v>35</v>
      </c>
      <c r="C62" s="81">
        <v>137</v>
      </c>
      <c r="D62" s="81">
        <v>141</v>
      </c>
      <c r="E62" s="81">
        <v>148</v>
      </c>
      <c r="F62" s="81">
        <v>0</v>
      </c>
      <c r="G62" s="81">
        <v>0</v>
      </c>
      <c r="H62" s="81">
        <v>74</v>
      </c>
      <c r="I62" s="81">
        <v>432</v>
      </c>
      <c r="J62" s="81">
        <v>815</v>
      </c>
      <c r="K62" s="81">
        <v>704</v>
      </c>
      <c r="L62" s="81">
        <v>525</v>
      </c>
      <c r="M62" s="81">
        <v>84</v>
      </c>
      <c r="N62" s="81">
        <v>140</v>
      </c>
      <c r="O62" s="94">
        <f t="shared" ref="O62:O76" si="21">SUM(C62:N62)</f>
        <v>3200</v>
      </c>
      <c r="P62" s="101">
        <f>O62/($O$62+$O$63+$O$64+$O$65+$O$66+$O$67)</f>
        <v>0.39389463318562284</v>
      </c>
    </row>
    <row r="63" spans="1:18" x14ac:dyDescent="0.25">
      <c r="A63" s="360"/>
      <c r="B63" s="77" t="s">
        <v>53</v>
      </c>
      <c r="C63" s="74">
        <v>42</v>
      </c>
      <c r="D63" s="74">
        <v>74</v>
      </c>
      <c r="E63" s="104">
        <v>39</v>
      </c>
      <c r="F63" s="104">
        <v>0</v>
      </c>
      <c r="G63" s="74">
        <v>0</v>
      </c>
      <c r="H63" s="74">
        <v>39</v>
      </c>
      <c r="I63" s="74">
        <v>67</v>
      </c>
      <c r="J63" s="74">
        <v>164</v>
      </c>
      <c r="K63" s="74">
        <v>171</v>
      </c>
      <c r="L63" s="74">
        <v>110</v>
      </c>
      <c r="M63" s="74">
        <v>42</v>
      </c>
      <c r="N63" s="74">
        <v>57</v>
      </c>
      <c r="O63" s="95">
        <f t="shared" si="21"/>
        <v>805</v>
      </c>
      <c r="P63" s="101">
        <f>O63/($O$62+$O$63+$O$64+$O$65+$O$66+$O$67)</f>
        <v>9.9089118660758244E-2</v>
      </c>
      <c r="Q63" s="93"/>
    </row>
    <row r="64" spans="1:18" x14ac:dyDescent="0.25">
      <c r="A64" s="360"/>
      <c r="B64" s="77" t="s">
        <v>36</v>
      </c>
      <c r="C64" s="74">
        <v>39</v>
      </c>
      <c r="D64" s="74">
        <v>45</v>
      </c>
      <c r="E64" s="74">
        <v>37</v>
      </c>
      <c r="F64" s="74">
        <v>0</v>
      </c>
      <c r="G64" s="74">
        <v>0</v>
      </c>
      <c r="H64" s="74">
        <v>11</v>
      </c>
      <c r="I64" s="74">
        <v>108</v>
      </c>
      <c r="J64" s="74">
        <v>327</v>
      </c>
      <c r="K64" s="74">
        <v>159</v>
      </c>
      <c r="L64" s="74">
        <v>101</v>
      </c>
      <c r="M64" s="74">
        <v>6</v>
      </c>
      <c r="N64" s="74">
        <v>33</v>
      </c>
      <c r="O64" s="95">
        <f t="shared" si="21"/>
        <v>866</v>
      </c>
      <c r="P64" s="101">
        <f t="shared" ref="P64:P67" si="22">O64/($O$62+$O$63+$O$64+$O$65+$O$66+$O$67)</f>
        <v>0.10659773510585918</v>
      </c>
    </row>
    <row r="65" spans="1:18" x14ac:dyDescent="0.25">
      <c r="A65" s="360"/>
      <c r="B65" s="77" t="s">
        <v>37</v>
      </c>
      <c r="C65" s="74">
        <v>5</v>
      </c>
      <c r="D65" s="74">
        <v>5</v>
      </c>
      <c r="E65" s="74">
        <v>37</v>
      </c>
      <c r="F65" s="74">
        <v>0</v>
      </c>
      <c r="G65" s="74">
        <v>0</v>
      </c>
      <c r="H65" s="74">
        <v>2</v>
      </c>
      <c r="I65" s="74">
        <v>36</v>
      </c>
      <c r="J65" s="74">
        <v>25</v>
      </c>
      <c r="K65" s="74">
        <v>16</v>
      </c>
      <c r="L65" s="74">
        <v>5</v>
      </c>
      <c r="M65" s="74">
        <v>0</v>
      </c>
      <c r="N65" s="74">
        <v>5</v>
      </c>
      <c r="O65" s="95">
        <f t="shared" si="21"/>
        <v>136</v>
      </c>
      <c r="P65" s="101">
        <f t="shared" si="22"/>
        <v>1.674052191038897E-2</v>
      </c>
    </row>
    <row r="66" spans="1:18" s="233" customFormat="1" x14ac:dyDescent="0.25">
      <c r="A66" s="360"/>
      <c r="B66" s="77" t="s">
        <v>54</v>
      </c>
      <c r="C66" s="74">
        <v>681</v>
      </c>
      <c r="D66" s="74">
        <v>717</v>
      </c>
      <c r="E66" s="74">
        <v>142</v>
      </c>
      <c r="F66" s="74">
        <v>0</v>
      </c>
      <c r="G66" s="74">
        <v>0</v>
      </c>
      <c r="H66" s="74">
        <v>0</v>
      </c>
      <c r="I66" s="74">
        <v>27</v>
      </c>
      <c r="J66" s="74">
        <v>12</v>
      </c>
      <c r="K66" s="74">
        <v>22</v>
      </c>
      <c r="L66" s="74">
        <v>0</v>
      </c>
      <c r="M66" s="74">
        <v>74</v>
      </c>
      <c r="N66" s="74">
        <v>0</v>
      </c>
      <c r="O66" s="95">
        <f t="shared" si="21"/>
        <v>1675</v>
      </c>
      <c r="P66" s="101">
        <f t="shared" si="22"/>
        <v>0.20617922205809947</v>
      </c>
      <c r="Q66"/>
    </row>
    <row r="67" spans="1:18" s="121" customFormat="1" ht="15.75" thickBot="1" x14ac:dyDescent="0.3">
      <c r="A67" s="361"/>
      <c r="B67" s="78" t="s">
        <v>40</v>
      </c>
      <c r="C67" s="83">
        <v>132</v>
      </c>
      <c r="D67" s="83">
        <v>393</v>
      </c>
      <c r="E67" s="83">
        <v>0</v>
      </c>
      <c r="F67" s="83">
        <v>0</v>
      </c>
      <c r="G67" s="83">
        <v>0</v>
      </c>
      <c r="H67" s="83">
        <v>0</v>
      </c>
      <c r="I67" s="83">
        <v>72</v>
      </c>
      <c r="J67" s="83">
        <v>246</v>
      </c>
      <c r="K67" s="83">
        <v>307</v>
      </c>
      <c r="L67" s="83">
        <v>260</v>
      </c>
      <c r="M67" s="83">
        <v>0</v>
      </c>
      <c r="N67" s="83">
        <v>32</v>
      </c>
      <c r="O67" s="96">
        <f t="shared" si="21"/>
        <v>1442</v>
      </c>
      <c r="P67" s="101">
        <f t="shared" si="22"/>
        <v>0.17749876907927128</v>
      </c>
      <c r="Q67"/>
      <c r="R67" s="193" t="s">
        <v>101</v>
      </c>
    </row>
    <row r="68" spans="1:18" ht="15.75" thickBot="1" x14ac:dyDescent="0.3">
      <c r="A68" s="322"/>
      <c r="B68" s="78"/>
      <c r="C68" s="263">
        <f>SUM(C62:C67)</f>
        <v>1036</v>
      </c>
      <c r="D68" s="263">
        <f t="shared" ref="D68:O68" si="23">SUM(D62:D67)</f>
        <v>1375</v>
      </c>
      <c r="E68" s="263">
        <f t="shared" si="23"/>
        <v>403</v>
      </c>
      <c r="F68" s="263">
        <f t="shared" si="23"/>
        <v>0</v>
      </c>
      <c r="G68" s="263">
        <f t="shared" si="23"/>
        <v>0</v>
      </c>
      <c r="H68" s="263">
        <f t="shared" si="23"/>
        <v>126</v>
      </c>
      <c r="I68" s="263">
        <f t="shared" si="23"/>
        <v>742</v>
      </c>
      <c r="J68" s="263">
        <f t="shared" si="23"/>
        <v>1589</v>
      </c>
      <c r="K68" s="263">
        <f t="shared" si="23"/>
        <v>1379</v>
      </c>
      <c r="L68" s="263">
        <f t="shared" si="23"/>
        <v>1001</v>
      </c>
      <c r="M68" s="263">
        <f t="shared" si="23"/>
        <v>206</v>
      </c>
      <c r="N68" s="263">
        <f t="shared" si="23"/>
        <v>267</v>
      </c>
      <c r="O68" s="263">
        <f t="shared" si="23"/>
        <v>8124</v>
      </c>
      <c r="P68" s="262"/>
      <c r="Q68" s="233"/>
      <c r="R68">
        <f>SUM(I68:K68)</f>
        <v>3710</v>
      </c>
    </row>
    <row r="69" spans="1:18" ht="15.75" thickBot="1" x14ac:dyDescent="0.3">
      <c r="A69" s="323"/>
      <c r="B69" s="321"/>
      <c r="C69" s="122" t="s">
        <v>45</v>
      </c>
      <c r="D69" s="122" t="s">
        <v>46</v>
      </c>
      <c r="E69" s="122" t="s">
        <v>47</v>
      </c>
      <c r="F69" s="122" t="s">
        <v>48</v>
      </c>
      <c r="G69" s="122" t="s">
        <v>49</v>
      </c>
      <c r="H69" s="122" t="s">
        <v>50</v>
      </c>
      <c r="I69" s="122" t="s">
        <v>51</v>
      </c>
      <c r="J69" s="122" t="s">
        <v>52</v>
      </c>
      <c r="K69" s="122" t="s">
        <v>44</v>
      </c>
      <c r="L69" s="122" t="s">
        <v>43</v>
      </c>
      <c r="M69" s="122" t="s">
        <v>41</v>
      </c>
      <c r="N69" s="122" t="s">
        <v>42</v>
      </c>
      <c r="O69" s="123" t="s">
        <v>57</v>
      </c>
      <c r="P69" s="124" t="s">
        <v>59</v>
      </c>
      <c r="Q69" s="124" t="s">
        <v>16</v>
      </c>
    </row>
    <row r="70" spans="1:18" x14ac:dyDescent="0.25">
      <c r="A70" s="359" t="s">
        <v>39</v>
      </c>
      <c r="B70" s="79" t="s">
        <v>35</v>
      </c>
      <c r="C70" s="102">
        <v>390</v>
      </c>
      <c r="D70" s="102">
        <v>412</v>
      </c>
      <c r="E70" s="102">
        <v>411</v>
      </c>
      <c r="F70" s="102">
        <v>0</v>
      </c>
      <c r="G70" s="102">
        <v>0</v>
      </c>
      <c r="H70" s="102">
        <v>195</v>
      </c>
      <c r="I70" s="102">
        <v>1070</v>
      </c>
      <c r="J70" s="102">
        <v>2382</v>
      </c>
      <c r="K70" s="102">
        <v>2019</v>
      </c>
      <c r="L70" s="102">
        <v>689</v>
      </c>
      <c r="M70" s="102">
        <v>0</v>
      </c>
      <c r="N70" s="102">
        <v>225</v>
      </c>
      <c r="O70" s="103">
        <f t="shared" si="21"/>
        <v>7793</v>
      </c>
      <c r="P70" s="85">
        <f>O70/($O$70+$O$71+$O$72+$O$73+$O$74+$O$76+$O$75)</f>
        <v>0.38638408849202122</v>
      </c>
      <c r="Q70" s="86">
        <f>O70/O62</f>
        <v>2.4353125000000002</v>
      </c>
    </row>
    <row r="71" spans="1:18" x14ac:dyDescent="0.25">
      <c r="A71" s="360"/>
      <c r="B71" s="77" t="s">
        <v>53</v>
      </c>
      <c r="C71" s="75">
        <v>142</v>
      </c>
      <c r="D71" s="75">
        <v>322</v>
      </c>
      <c r="E71" s="75">
        <v>170</v>
      </c>
      <c r="F71" s="75">
        <v>0</v>
      </c>
      <c r="G71" s="75">
        <v>0</v>
      </c>
      <c r="H71" s="75">
        <v>183</v>
      </c>
      <c r="I71" s="75">
        <v>311</v>
      </c>
      <c r="J71" s="75">
        <v>844</v>
      </c>
      <c r="K71" s="75">
        <v>802</v>
      </c>
      <c r="L71" s="75">
        <v>278</v>
      </c>
      <c r="M71" s="75">
        <v>0</v>
      </c>
      <c r="N71" s="75">
        <v>114</v>
      </c>
      <c r="O71" s="76">
        <f t="shared" si="21"/>
        <v>3166</v>
      </c>
      <c r="P71" s="85">
        <f t="shared" ref="P71:P76" si="24">O71/($O$70+$O$71+$O$72+$O$73+$O$74+$O$76+$O$75)</f>
        <v>0.15697318416088016</v>
      </c>
      <c r="Q71" s="86">
        <f>O71/O63</f>
        <v>3.9329192546583851</v>
      </c>
    </row>
    <row r="72" spans="1:18" x14ac:dyDescent="0.25">
      <c r="A72" s="360"/>
      <c r="B72" s="77" t="s">
        <v>36</v>
      </c>
      <c r="C72" s="32">
        <v>101.5</v>
      </c>
      <c r="D72" s="32">
        <v>133</v>
      </c>
      <c r="E72" s="32">
        <v>61.5</v>
      </c>
      <c r="F72" s="32">
        <v>0</v>
      </c>
      <c r="G72" s="32">
        <v>0</v>
      </c>
      <c r="H72" s="32">
        <v>32.5</v>
      </c>
      <c r="I72" s="32">
        <v>259.5</v>
      </c>
      <c r="J72" s="32">
        <v>902</v>
      </c>
      <c r="K72" s="32">
        <v>475.5</v>
      </c>
      <c r="L72" s="32">
        <v>223.5</v>
      </c>
      <c r="M72" s="32">
        <v>14</v>
      </c>
      <c r="N72" s="32">
        <v>89.5</v>
      </c>
      <c r="O72" s="76">
        <f t="shared" si="21"/>
        <v>2292.5</v>
      </c>
      <c r="P72" s="85">
        <f t="shared" si="24"/>
        <v>0.11366425290234294</v>
      </c>
      <c r="Q72" s="86">
        <f>O72/O64</f>
        <v>2.6472286374133951</v>
      </c>
    </row>
    <row r="73" spans="1:18" x14ac:dyDescent="0.25">
      <c r="A73" s="360"/>
      <c r="B73" s="77" t="s">
        <v>37</v>
      </c>
      <c r="C73" s="32">
        <v>7</v>
      </c>
      <c r="D73" s="32">
        <v>9.5</v>
      </c>
      <c r="E73" s="32">
        <v>61.5</v>
      </c>
      <c r="F73" s="32">
        <v>0</v>
      </c>
      <c r="G73" s="32">
        <v>0</v>
      </c>
      <c r="H73" s="32">
        <v>4</v>
      </c>
      <c r="I73" s="32">
        <v>57.5</v>
      </c>
      <c r="J73" s="32">
        <v>45.5</v>
      </c>
      <c r="K73" s="32">
        <v>31.5</v>
      </c>
      <c r="L73" s="32">
        <v>10</v>
      </c>
      <c r="M73" s="32">
        <v>0</v>
      </c>
      <c r="N73" s="32">
        <v>9</v>
      </c>
      <c r="O73" s="76">
        <f t="shared" si="21"/>
        <v>235.5</v>
      </c>
      <c r="P73" s="85">
        <f t="shared" si="24"/>
        <v>1.1676306023337739E-2</v>
      </c>
      <c r="Q73" s="86">
        <f>O73/O65</f>
        <v>1.7316176470588236</v>
      </c>
    </row>
    <row r="74" spans="1:18" x14ac:dyDescent="0.25">
      <c r="A74" s="360"/>
      <c r="B74" s="77" t="s">
        <v>54</v>
      </c>
      <c r="C74" s="32">
        <v>1660.5</v>
      </c>
      <c r="D74" s="32">
        <v>2606</v>
      </c>
      <c r="E74" s="32">
        <v>593</v>
      </c>
      <c r="F74" s="32">
        <v>0</v>
      </c>
      <c r="G74" s="32">
        <v>0</v>
      </c>
      <c r="H74" s="32">
        <v>0</v>
      </c>
      <c r="I74" s="32">
        <v>210</v>
      </c>
      <c r="J74" s="32">
        <v>170</v>
      </c>
      <c r="K74" s="32">
        <v>126</v>
      </c>
      <c r="L74" s="32">
        <v>0</v>
      </c>
      <c r="M74" s="32">
        <v>398</v>
      </c>
      <c r="N74" s="32">
        <v>0</v>
      </c>
      <c r="O74" s="76">
        <f t="shared" si="21"/>
        <v>5763.5</v>
      </c>
      <c r="P74" s="85">
        <f t="shared" si="24"/>
        <v>0.28575961683867113</v>
      </c>
      <c r="Q74" s="86">
        <f>O74/O66</f>
        <v>3.4408955223880597</v>
      </c>
    </row>
    <row r="75" spans="1:18" s="233" customFormat="1" x14ac:dyDescent="0.25">
      <c r="A75" s="360"/>
      <c r="B75" s="77" t="s">
        <v>61</v>
      </c>
      <c r="C75" s="32">
        <v>5</v>
      </c>
      <c r="D75" s="32">
        <v>13</v>
      </c>
      <c r="E75" s="32">
        <v>24</v>
      </c>
      <c r="F75" s="32">
        <v>0</v>
      </c>
      <c r="G75" s="32">
        <v>0</v>
      </c>
      <c r="H75" s="32">
        <v>7</v>
      </c>
      <c r="I75" s="32">
        <v>58</v>
      </c>
      <c r="J75" s="32">
        <v>95.2</v>
      </c>
      <c r="K75" s="32">
        <v>47.4</v>
      </c>
      <c r="L75" s="32">
        <v>20</v>
      </c>
      <c r="M75" s="32">
        <v>2</v>
      </c>
      <c r="N75" s="32">
        <v>0</v>
      </c>
      <c r="O75" s="76">
        <f t="shared" si="21"/>
        <v>271.60000000000002</v>
      </c>
      <c r="P75" s="85">
        <f>O75/($O$70+$O$71+$O$72+$O$73+$O$74+$O$76+$O$75)</f>
        <v>1.3466177137743228E-2</v>
      </c>
      <c r="Q75"/>
    </row>
    <row r="76" spans="1:18" ht="15.75" thickBot="1" x14ac:dyDescent="0.3">
      <c r="A76" s="361"/>
      <c r="B76" s="78" t="s">
        <v>58</v>
      </c>
      <c r="C76" s="100">
        <v>94.5</v>
      </c>
      <c r="D76" s="100">
        <v>191.5</v>
      </c>
      <c r="E76" s="100">
        <v>32.700000000000003</v>
      </c>
      <c r="F76" s="100">
        <v>0</v>
      </c>
      <c r="G76" s="100">
        <v>0</v>
      </c>
      <c r="H76" s="100">
        <v>26</v>
      </c>
      <c r="I76" s="100">
        <v>22.5</v>
      </c>
      <c r="J76" s="100">
        <v>76.739999999999995</v>
      </c>
      <c r="K76" s="100">
        <v>58.51</v>
      </c>
      <c r="L76" s="100">
        <v>73</v>
      </c>
      <c r="M76" s="100">
        <v>52</v>
      </c>
      <c r="N76" s="100">
        <v>19.5</v>
      </c>
      <c r="O76" s="97">
        <f t="shared" si="21"/>
        <v>646.95000000000005</v>
      </c>
      <c r="P76" s="85">
        <f t="shared" si="24"/>
        <v>3.2076374445003608E-2</v>
      </c>
      <c r="R76" s="193" t="s">
        <v>101</v>
      </c>
    </row>
    <row r="77" spans="1:18" x14ac:dyDescent="0.25">
      <c r="A77" s="335"/>
      <c r="B77" s="223"/>
      <c r="C77" s="264">
        <f>SUM(C70:C76)</f>
        <v>2400.5</v>
      </c>
      <c r="D77" s="264">
        <f t="shared" ref="D77:O77" si="25">SUM(D70:D76)</f>
        <v>3687</v>
      </c>
      <c r="E77" s="264">
        <f t="shared" si="25"/>
        <v>1353.7</v>
      </c>
      <c r="F77" s="264">
        <f t="shared" si="25"/>
        <v>0</v>
      </c>
      <c r="G77" s="264">
        <f t="shared" si="25"/>
        <v>0</v>
      </c>
      <c r="H77" s="264">
        <f t="shared" si="25"/>
        <v>447.5</v>
      </c>
      <c r="I77" s="264">
        <f t="shared" si="25"/>
        <v>1988.5</v>
      </c>
      <c r="J77" s="264">
        <f t="shared" si="25"/>
        <v>4515.4399999999996</v>
      </c>
      <c r="K77" s="264">
        <f t="shared" si="25"/>
        <v>3559.9100000000003</v>
      </c>
      <c r="L77" s="264">
        <f t="shared" si="25"/>
        <v>1293.5</v>
      </c>
      <c r="M77" s="264">
        <f t="shared" si="25"/>
        <v>466</v>
      </c>
      <c r="N77" s="264">
        <f t="shared" si="25"/>
        <v>457</v>
      </c>
      <c r="O77" s="264">
        <f t="shared" si="25"/>
        <v>20169.05</v>
      </c>
      <c r="P77" s="265"/>
      <c r="Q77" s="233"/>
      <c r="R77" s="193">
        <f>SUM(H77:K77)</f>
        <v>10511.35</v>
      </c>
    </row>
    <row r="78" spans="1:18" ht="15.75" thickBot="1" x14ac:dyDescent="0.3">
      <c r="A78" s="335"/>
      <c r="B78" s="223"/>
      <c r="C78" s="264"/>
      <c r="D78" s="264"/>
      <c r="E78" s="264"/>
      <c r="F78" s="264"/>
      <c r="G78" s="264"/>
      <c r="H78" s="264"/>
      <c r="I78" s="264"/>
      <c r="J78" s="264"/>
      <c r="K78" s="264"/>
      <c r="L78" s="264"/>
      <c r="M78" s="264"/>
      <c r="N78" s="264"/>
      <c r="O78" s="264"/>
      <c r="P78" s="265"/>
      <c r="Q78" s="233"/>
    </row>
    <row r="79" spans="1:18" s="121" customFormat="1" ht="15.75" thickBot="1" x14ac:dyDescent="0.3">
      <c r="A79" s="383">
        <v>2019</v>
      </c>
      <c r="B79" s="384"/>
      <c r="C79" s="384"/>
      <c r="D79" s="384"/>
      <c r="E79" s="384"/>
      <c r="F79" s="384"/>
      <c r="G79" s="384"/>
      <c r="H79" s="384"/>
      <c r="I79" s="384"/>
      <c r="J79" s="384"/>
      <c r="K79" s="384"/>
      <c r="L79" s="384"/>
      <c r="M79" s="384"/>
      <c r="N79" s="384"/>
      <c r="O79" s="385"/>
      <c r="P79"/>
      <c r="Q79"/>
    </row>
    <row r="80" spans="1:18" ht="15.75" thickBot="1" x14ac:dyDescent="0.3">
      <c r="A80" s="357"/>
      <c r="B80" s="358"/>
      <c r="C80" s="119" t="s">
        <v>45</v>
      </c>
      <c r="D80" s="119" t="s">
        <v>46</v>
      </c>
      <c r="E80" s="119" t="s">
        <v>47</v>
      </c>
      <c r="F80" s="119" t="s">
        <v>48</v>
      </c>
      <c r="G80" s="119" t="s">
        <v>49</v>
      </c>
      <c r="H80" s="119" t="s">
        <v>50</v>
      </c>
      <c r="I80" s="119" t="s">
        <v>51</v>
      </c>
      <c r="J80" s="119" t="s">
        <v>52</v>
      </c>
      <c r="K80" s="119" t="s">
        <v>44</v>
      </c>
      <c r="L80" s="119" t="s">
        <v>43</v>
      </c>
      <c r="M80" s="119" t="s">
        <v>41</v>
      </c>
      <c r="N80" s="119" t="s">
        <v>42</v>
      </c>
      <c r="O80" s="120" t="s">
        <v>57</v>
      </c>
      <c r="P80" s="379" t="s">
        <v>60</v>
      </c>
      <c r="Q80" s="380"/>
    </row>
    <row r="81" spans="1:18" x14ac:dyDescent="0.25">
      <c r="A81" s="359" t="s">
        <v>56</v>
      </c>
      <c r="B81" s="80" t="s">
        <v>55</v>
      </c>
      <c r="C81" s="81">
        <v>5</v>
      </c>
      <c r="D81" s="81">
        <v>29</v>
      </c>
      <c r="E81" s="81">
        <v>42</v>
      </c>
      <c r="F81" s="81">
        <v>14</v>
      </c>
      <c r="G81" s="81">
        <v>10</v>
      </c>
      <c r="H81" s="81">
        <v>13</v>
      </c>
      <c r="I81" s="81">
        <v>71</v>
      </c>
      <c r="J81" s="81">
        <v>161</v>
      </c>
      <c r="K81" s="81">
        <v>126</v>
      </c>
      <c r="L81" s="81">
        <v>50</v>
      </c>
      <c r="M81" s="81">
        <v>2</v>
      </c>
      <c r="N81" s="81">
        <v>0</v>
      </c>
      <c r="O81" s="94">
        <f>SUM(C81:N81)</f>
        <v>523</v>
      </c>
      <c r="P81" s="101">
        <f>O81/($O$81+$O$82)</f>
        <v>8.461414010677884E-2</v>
      </c>
    </row>
    <row r="82" spans="1:18" s="121" customFormat="1" ht="15.75" thickBot="1" x14ac:dyDescent="0.3">
      <c r="A82" s="361"/>
      <c r="B82" s="82" t="s">
        <v>63</v>
      </c>
      <c r="C82" s="83">
        <v>398</v>
      </c>
      <c r="D82" s="83">
        <v>371</v>
      </c>
      <c r="E82" s="105">
        <v>477</v>
      </c>
      <c r="F82" s="105">
        <v>569</v>
      </c>
      <c r="G82" s="83">
        <v>627</v>
      </c>
      <c r="H82" s="83">
        <v>629</v>
      </c>
      <c r="I82" s="83">
        <v>339</v>
      </c>
      <c r="J82" s="83">
        <v>632</v>
      </c>
      <c r="K82" s="83">
        <v>653</v>
      </c>
      <c r="L82" s="83">
        <v>442</v>
      </c>
      <c r="M82" s="83">
        <v>489</v>
      </c>
      <c r="N82" s="83">
        <v>32</v>
      </c>
      <c r="O82" s="96">
        <f>SUM(C82:N82)</f>
        <v>5658</v>
      </c>
      <c r="P82" s="101">
        <f>O82/($O$81+$O$82)</f>
        <v>0.91538585989322119</v>
      </c>
      <c r="Q82"/>
    </row>
    <row r="83" spans="1:18" ht="15.75" thickBot="1" x14ac:dyDescent="0.3">
      <c r="A83" s="222"/>
      <c r="B83" s="215"/>
      <c r="C83" s="317">
        <f>SUM(C81:C82)</f>
        <v>403</v>
      </c>
      <c r="D83" s="317">
        <f t="shared" ref="D83:O83" si="26">SUM(D81:D82)</f>
        <v>400</v>
      </c>
      <c r="E83" s="317">
        <f t="shared" si="26"/>
        <v>519</v>
      </c>
      <c r="F83" s="317">
        <f t="shared" si="26"/>
        <v>583</v>
      </c>
      <c r="G83" s="317">
        <f t="shared" si="26"/>
        <v>637</v>
      </c>
      <c r="H83" s="317">
        <f t="shared" si="26"/>
        <v>642</v>
      </c>
      <c r="I83" s="317">
        <f t="shared" si="26"/>
        <v>410</v>
      </c>
      <c r="J83" s="317">
        <f t="shared" si="26"/>
        <v>793</v>
      </c>
      <c r="K83" s="317">
        <f t="shared" si="26"/>
        <v>779</v>
      </c>
      <c r="L83" s="317">
        <f t="shared" si="26"/>
        <v>492</v>
      </c>
      <c r="M83" s="317">
        <f t="shared" si="26"/>
        <v>491</v>
      </c>
      <c r="N83" s="317">
        <f t="shared" si="26"/>
        <v>32</v>
      </c>
      <c r="O83" s="96">
        <f t="shared" si="26"/>
        <v>6181</v>
      </c>
      <c r="P83" s="101"/>
    </row>
    <row r="84" spans="1:18" ht="15.75" thickBot="1" x14ac:dyDescent="0.3">
      <c r="A84" s="357"/>
      <c r="B84" s="358"/>
      <c r="C84" s="119" t="s">
        <v>45</v>
      </c>
      <c r="D84" s="119" t="s">
        <v>46</v>
      </c>
      <c r="E84" s="119" t="s">
        <v>47</v>
      </c>
      <c r="F84" s="119" t="s">
        <v>48</v>
      </c>
      <c r="G84" s="119" t="s">
        <v>49</v>
      </c>
      <c r="H84" s="119" t="s">
        <v>50</v>
      </c>
      <c r="I84" s="119" t="s">
        <v>51</v>
      </c>
      <c r="J84" s="119" t="s">
        <v>52</v>
      </c>
      <c r="K84" s="119" t="s">
        <v>44</v>
      </c>
      <c r="L84" s="119" t="s">
        <v>43</v>
      </c>
      <c r="M84" s="119" t="s">
        <v>41</v>
      </c>
      <c r="N84" s="119" t="s">
        <v>42</v>
      </c>
      <c r="O84" s="120" t="s">
        <v>57</v>
      </c>
      <c r="P84" s="379" t="s">
        <v>60</v>
      </c>
      <c r="Q84" s="380"/>
      <c r="R84" s="93"/>
    </row>
    <row r="85" spans="1:18" x14ac:dyDescent="0.25">
      <c r="A85" s="359" t="s">
        <v>38</v>
      </c>
      <c r="B85" s="132" t="s">
        <v>35</v>
      </c>
      <c r="C85" s="81">
        <v>44</v>
      </c>
      <c r="D85" s="81">
        <v>213</v>
      </c>
      <c r="E85" s="81">
        <v>156</v>
      </c>
      <c r="F85" s="81">
        <v>178</v>
      </c>
      <c r="G85" s="81">
        <v>176</v>
      </c>
      <c r="H85" s="81">
        <v>431</v>
      </c>
      <c r="I85" s="81">
        <v>657</v>
      </c>
      <c r="J85" s="81">
        <v>950</v>
      </c>
      <c r="K85" s="81">
        <v>567</v>
      </c>
      <c r="L85" s="81">
        <v>286</v>
      </c>
      <c r="M85" s="81">
        <v>419</v>
      </c>
      <c r="N85" s="81">
        <v>385</v>
      </c>
      <c r="O85" s="94">
        <f t="shared" ref="O85:O99" si="27">SUM(C85:N85)</f>
        <v>4462</v>
      </c>
      <c r="P85" s="93">
        <f t="shared" ref="P85:P90" si="28">O85/($O$85+$O$86+$O$87+$O$88+$O$89+$O$90)</f>
        <v>0.27997741105603313</v>
      </c>
    </row>
    <row r="86" spans="1:18" x14ac:dyDescent="0.25">
      <c r="A86" s="360"/>
      <c r="B86" s="133" t="s">
        <v>53</v>
      </c>
      <c r="C86" s="74">
        <v>61</v>
      </c>
      <c r="D86" s="74">
        <v>103</v>
      </c>
      <c r="E86" s="104">
        <v>123</v>
      </c>
      <c r="F86" s="104">
        <v>1600</v>
      </c>
      <c r="G86" s="74">
        <v>72</v>
      </c>
      <c r="H86" s="74">
        <v>92</v>
      </c>
      <c r="I86" s="74">
        <v>67</v>
      </c>
      <c r="J86" s="74">
        <v>68</v>
      </c>
      <c r="K86" s="74">
        <v>290</v>
      </c>
      <c r="L86" s="74">
        <v>155</v>
      </c>
      <c r="M86" s="74">
        <v>254</v>
      </c>
      <c r="N86" s="74">
        <v>90</v>
      </c>
      <c r="O86" s="95">
        <f t="shared" si="27"/>
        <v>2975</v>
      </c>
      <c r="P86" s="93">
        <f t="shared" si="28"/>
        <v>0.18667252305954696</v>
      </c>
    </row>
    <row r="87" spans="1:18" x14ac:dyDescent="0.25">
      <c r="A87" s="360"/>
      <c r="B87" s="133" t="s">
        <v>36</v>
      </c>
      <c r="C87" s="90">
        <v>54</v>
      </c>
      <c r="D87" s="90">
        <v>47</v>
      </c>
      <c r="E87" s="90">
        <v>90</v>
      </c>
      <c r="F87" s="90">
        <v>72</v>
      </c>
      <c r="G87" s="90">
        <v>51</v>
      </c>
      <c r="H87" s="90">
        <v>100</v>
      </c>
      <c r="I87" s="90">
        <v>119</v>
      </c>
      <c r="J87" s="90">
        <v>262</v>
      </c>
      <c r="K87" s="91">
        <f>'[4]TOTALS BOTIGA 2019'!$I$11</f>
        <v>77</v>
      </c>
      <c r="L87" s="90">
        <v>49</v>
      </c>
      <c r="M87" s="90">
        <v>71</v>
      </c>
      <c r="N87" s="90">
        <v>70</v>
      </c>
      <c r="O87" s="88">
        <f>SUM(C87:N87)</f>
        <v>1062</v>
      </c>
      <c r="P87" s="93">
        <f t="shared" si="28"/>
        <v>6.6637384702265171E-2</v>
      </c>
    </row>
    <row r="88" spans="1:18" x14ac:dyDescent="0.25">
      <c r="A88" s="360"/>
      <c r="B88" s="133" t="s">
        <v>37</v>
      </c>
      <c r="C88" s="90">
        <v>24</v>
      </c>
      <c r="D88" s="90">
        <v>13</v>
      </c>
      <c r="E88" s="90">
        <v>18</v>
      </c>
      <c r="F88" s="90">
        <v>15</v>
      </c>
      <c r="G88" s="90">
        <v>44</v>
      </c>
      <c r="H88" s="90">
        <v>14</v>
      </c>
      <c r="I88" s="90">
        <v>15</v>
      </c>
      <c r="J88" s="92">
        <f>'[4]TOTALS BOTIGA 2019'!$F$10</f>
        <v>46</v>
      </c>
      <c r="K88" s="92">
        <f>'[4]TOTALS BOTIGA 2019'!$F$11</f>
        <v>25</v>
      </c>
      <c r="L88" s="90">
        <v>20</v>
      </c>
      <c r="M88" s="90">
        <v>14</v>
      </c>
      <c r="N88" s="92">
        <f>'[4]TOTALS BOTIGA 2019'!$F$14</f>
        <v>8</v>
      </c>
      <c r="O88" s="88">
        <f>SUM(C88:N88)</f>
        <v>256</v>
      </c>
      <c r="P88" s="93">
        <f t="shared" si="28"/>
        <v>1.6063249043107235E-2</v>
      </c>
    </row>
    <row r="89" spans="1:18" x14ac:dyDescent="0.25">
      <c r="A89" s="360"/>
      <c r="B89" s="133" t="s">
        <v>54</v>
      </c>
      <c r="C89" s="74">
        <v>219</v>
      </c>
      <c r="D89" s="74">
        <v>510</v>
      </c>
      <c r="E89" s="74">
        <v>699</v>
      </c>
      <c r="F89" s="74">
        <v>573</v>
      </c>
      <c r="G89" s="74">
        <v>740</v>
      </c>
      <c r="H89" s="74">
        <v>393</v>
      </c>
      <c r="I89" s="74">
        <v>15</v>
      </c>
      <c r="J89" s="74">
        <v>0</v>
      </c>
      <c r="K89" s="74">
        <v>654</v>
      </c>
      <c r="L89" s="74">
        <v>1179</v>
      </c>
      <c r="M89" s="74">
        <v>877</v>
      </c>
      <c r="N89" s="74">
        <v>440</v>
      </c>
      <c r="O89" s="88">
        <f t="shared" si="27"/>
        <v>6299</v>
      </c>
      <c r="P89" s="93">
        <f t="shared" si="28"/>
        <v>0.39524377235364244</v>
      </c>
    </row>
    <row r="90" spans="1:18" s="121" customFormat="1" ht="15.75" thickBot="1" x14ac:dyDescent="0.3">
      <c r="A90" s="361"/>
      <c r="B90" s="134" t="s">
        <v>40</v>
      </c>
      <c r="C90" s="83"/>
      <c r="D90" s="83"/>
      <c r="E90" s="83"/>
      <c r="F90" s="83"/>
      <c r="G90" s="83"/>
      <c r="H90" s="83"/>
      <c r="I90" s="83"/>
      <c r="J90" s="83"/>
      <c r="K90" s="83"/>
      <c r="L90" s="83">
        <v>302</v>
      </c>
      <c r="M90" s="83">
        <v>318</v>
      </c>
      <c r="N90" s="83">
        <v>263</v>
      </c>
      <c r="O90" s="87">
        <f t="shared" si="27"/>
        <v>883</v>
      </c>
      <c r="P90" s="93">
        <f t="shared" si="28"/>
        <v>5.5405659785405036E-2</v>
      </c>
      <c r="Q90"/>
      <c r="R90" s="193" t="s">
        <v>101</v>
      </c>
    </row>
    <row r="91" spans="1:18" ht="15.75" thickBot="1" x14ac:dyDescent="0.3">
      <c r="A91" s="222"/>
      <c r="B91" s="223"/>
      <c r="C91" s="263">
        <f>SUM(C85:C90)</f>
        <v>402</v>
      </c>
      <c r="D91" s="263">
        <f t="shared" ref="D91:O91" si="29">SUM(D85:D90)</f>
        <v>886</v>
      </c>
      <c r="E91" s="263">
        <f t="shared" si="29"/>
        <v>1086</v>
      </c>
      <c r="F91" s="263">
        <f t="shared" si="29"/>
        <v>2438</v>
      </c>
      <c r="G91" s="263">
        <f t="shared" si="29"/>
        <v>1083</v>
      </c>
      <c r="H91" s="263">
        <f t="shared" si="29"/>
        <v>1030</v>
      </c>
      <c r="I91" s="263">
        <f t="shared" si="29"/>
        <v>873</v>
      </c>
      <c r="J91" s="263">
        <f t="shared" si="29"/>
        <v>1326</v>
      </c>
      <c r="K91" s="263">
        <f t="shared" si="29"/>
        <v>1613</v>
      </c>
      <c r="L91" s="263">
        <f t="shared" si="29"/>
        <v>1991</v>
      </c>
      <c r="M91" s="263">
        <f t="shared" si="29"/>
        <v>1953</v>
      </c>
      <c r="N91" s="263">
        <f t="shared" si="29"/>
        <v>1256</v>
      </c>
      <c r="O91" s="263">
        <f t="shared" si="29"/>
        <v>15937</v>
      </c>
      <c r="P91" s="93"/>
      <c r="R91">
        <f>SUM(H91:K91)</f>
        <v>4842</v>
      </c>
    </row>
    <row r="92" spans="1:18" ht="15.75" thickBot="1" x14ac:dyDescent="0.3">
      <c r="A92" s="357"/>
      <c r="B92" s="358"/>
      <c r="C92" s="122" t="s">
        <v>45</v>
      </c>
      <c r="D92" s="122" t="s">
        <v>46</v>
      </c>
      <c r="E92" s="122" t="s">
        <v>47</v>
      </c>
      <c r="F92" s="122" t="s">
        <v>48</v>
      </c>
      <c r="G92" s="122" t="s">
        <v>49</v>
      </c>
      <c r="H92" s="122" t="s">
        <v>50</v>
      </c>
      <c r="I92" s="122" t="s">
        <v>51</v>
      </c>
      <c r="J92" s="122" t="s">
        <v>52</v>
      </c>
      <c r="K92" s="122" t="s">
        <v>44</v>
      </c>
      <c r="L92" s="122" t="s">
        <v>43</v>
      </c>
      <c r="M92" s="122" t="s">
        <v>41</v>
      </c>
      <c r="N92" s="122" t="s">
        <v>42</v>
      </c>
      <c r="O92" s="123" t="s">
        <v>57</v>
      </c>
      <c r="P92" s="128" t="s">
        <v>59</v>
      </c>
      <c r="Q92" s="128" t="s">
        <v>16</v>
      </c>
    </row>
    <row r="93" spans="1:18" x14ac:dyDescent="0.25">
      <c r="A93" s="359" t="s">
        <v>39</v>
      </c>
      <c r="B93" s="77" t="s">
        <v>35</v>
      </c>
      <c r="C93" s="84">
        <v>88</v>
      </c>
      <c r="D93" s="84">
        <v>435</v>
      </c>
      <c r="E93" s="84">
        <v>352</v>
      </c>
      <c r="F93" s="84">
        <v>378</v>
      </c>
      <c r="G93" s="84">
        <v>393</v>
      </c>
      <c r="H93" s="84">
        <v>1078</v>
      </c>
      <c r="I93" s="84">
        <v>1567</v>
      </c>
      <c r="J93" s="84">
        <v>2278</v>
      </c>
      <c r="K93" s="84">
        <v>1152</v>
      </c>
      <c r="L93" s="84">
        <v>457</v>
      </c>
      <c r="M93" s="84">
        <v>1005</v>
      </c>
      <c r="N93" s="84">
        <v>525</v>
      </c>
      <c r="O93" s="76">
        <f t="shared" si="27"/>
        <v>9708</v>
      </c>
      <c r="P93" s="85">
        <f>O93/($O$93+$O$94+$O$95+$O$96+$O$97+$O$99)</f>
        <v>0.23900262932435226</v>
      </c>
      <c r="Q93" s="86">
        <f>O93/O85</f>
        <v>2.1757059614522634</v>
      </c>
    </row>
    <row r="94" spans="1:18" x14ac:dyDescent="0.25">
      <c r="A94" s="360"/>
      <c r="B94" s="77" t="s">
        <v>53</v>
      </c>
      <c r="C94" s="84">
        <v>214</v>
      </c>
      <c r="D94" s="84">
        <v>372</v>
      </c>
      <c r="E94" s="84">
        <v>473</v>
      </c>
      <c r="F94" s="84">
        <v>1763</v>
      </c>
      <c r="G94" s="84">
        <v>247</v>
      </c>
      <c r="H94" s="84">
        <v>351</v>
      </c>
      <c r="I94" s="84">
        <v>257</v>
      </c>
      <c r="J94" s="84">
        <v>283</v>
      </c>
      <c r="K94" s="84">
        <v>976</v>
      </c>
      <c r="L94" s="84">
        <v>213</v>
      </c>
      <c r="M94" s="84">
        <v>1046</v>
      </c>
      <c r="N94" s="84">
        <v>514</v>
      </c>
      <c r="O94" s="76">
        <f t="shared" si="27"/>
        <v>6709</v>
      </c>
      <c r="P94" s="85">
        <f t="shared" ref="P94:P99" si="30">O94/($O$93+$O$94+$O$95+$O$96+$O$97+$O$99)</f>
        <v>0.16516982284065507</v>
      </c>
      <c r="Q94" s="86">
        <f>O94/O86</f>
        <v>2.2551260504201682</v>
      </c>
    </row>
    <row r="95" spans="1:18" x14ac:dyDescent="0.25">
      <c r="A95" s="360"/>
      <c r="B95" s="77" t="s">
        <v>36</v>
      </c>
      <c r="C95" s="98">
        <v>157</v>
      </c>
      <c r="D95" s="98">
        <v>135</v>
      </c>
      <c r="E95" s="98">
        <v>248</v>
      </c>
      <c r="F95" s="98">
        <v>144</v>
      </c>
      <c r="G95" s="98">
        <v>127</v>
      </c>
      <c r="H95" s="98">
        <v>275</v>
      </c>
      <c r="I95" s="98">
        <v>324</v>
      </c>
      <c r="J95" s="98">
        <v>690</v>
      </c>
      <c r="K95" s="98">
        <f>'[4]TOTALS BOTIGA 2019'!$I$27</f>
        <v>204</v>
      </c>
      <c r="L95" s="98">
        <v>124</v>
      </c>
      <c r="M95" s="98">
        <v>181</v>
      </c>
      <c r="N95" s="98">
        <v>189</v>
      </c>
      <c r="O95" s="76">
        <f>SUM(C95:N95)</f>
        <v>2798</v>
      </c>
      <c r="P95" s="85">
        <f t="shared" si="30"/>
        <v>6.8884358966783854E-2</v>
      </c>
      <c r="Q95" s="86">
        <f>O95/O87</f>
        <v>2.6346516007532959</v>
      </c>
    </row>
    <row r="96" spans="1:18" x14ac:dyDescent="0.25">
      <c r="A96" s="360"/>
      <c r="B96" s="77" t="s">
        <v>37</v>
      </c>
      <c r="C96" s="98">
        <v>41</v>
      </c>
      <c r="D96" s="98">
        <v>22</v>
      </c>
      <c r="E96" s="98">
        <v>30.5</v>
      </c>
      <c r="F96" s="98">
        <v>26.5</v>
      </c>
      <c r="G96" s="98">
        <v>72.5</v>
      </c>
      <c r="H96" s="98">
        <v>24</v>
      </c>
      <c r="I96" s="98">
        <v>25</v>
      </c>
      <c r="J96" s="98">
        <f>'[4]TOTALS BOTIGA 2019'!$F$26</f>
        <v>67</v>
      </c>
      <c r="K96" s="98">
        <f>'[4]TOTALS BOTIGA 2019'!$F$27</f>
        <v>41</v>
      </c>
      <c r="L96" s="98">
        <v>32.5</v>
      </c>
      <c r="M96" s="98">
        <v>26</v>
      </c>
      <c r="N96" s="98">
        <v>15.5</v>
      </c>
      <c r="O96" s="76">
        <f>SUM(C96:N96)</f>
        <v>423.5</v>
      </c>
      <c r="P96" s="85">
        <f t="shared" si="30"/>
        <v>1.0426206584143302E-2</v>
      </c>
      <c r="Q96" s="86">
        <f>O96/O88</f>
        <v>1.654296875</v>
      </c>
    </row>
    <row r="97" spans="1:18" x14ac:dyDescent="0.25">
      <c r="A97" s="360"/>
      <c r="B97" s="77" t="s">
        <v>54</v>
      </c>
      <c r="C97" s="98">
        <v>423</v>
      </c>
      <c r="D97" s="98">
        <f>1395-273</f>
        <v>1122</v>
      </c>
      <c r="E97" s="98">
        <v>2703</v>
      </c>
      <c r="F97" s="98">
        <v>1450.25</v>
      </c>
      <c r="G97" s="98">
        <v>2350.8000000000002</v>
      </c>
      <c r="H97" s="98">
        <v>1357.5</v>
      </c>
      <c r="I97" s="98">
        <v>60</v>
      </c>
      <c r="J97" s="98">
        <v>0</v>
      </c>
      <c r="K97" s="98">
        <v>1759.5</v>
      </c>
      <c r="L97" s="98">
        <v>3031.5</v>
      </c>
      <c r="M97" s="98">
        <v>2132</v>
      </c>
      <c r="N97" s="98">
        <v>1768</v>
      </c>
      <c r="O97" s="76">
        <f t="shared" si="27"/>
        <v>18157.55</v>
      </c>
      <c r="P97" s="85">
        <f t="shared" si="30"/>
        <v>0.44702329955587061</v>
      </c>
      <c r="Q97" s="86">
        <f>O97/O89</f>
        <v>2.8826083505318305</v>
      </c>
      <c r="R97" s="89"/>
    </row>
    <row r="98" spans="1:18" x14ac:dyDescent="0.25">
      <c r="A98" s="360"/>
      <c r="B98" s="77" t="s">
        <v>61</v>
      </c>
      <c r="C98" s="98">
        <v>0</v>
      </c>
      <c r="D98" s="98">
        <v>33.299999999999997</v>
      </c>
      <c r="E98" s="98">
        <v>27.8</v>
      </c>
      <c r="F98" s="98">
        <v>48.8</v>
      </c>
      <c r="G98" s="98">
        <v>29.7</v>
      </c>
      <c r="H98" s="98">
        <v>96.2</v>
      </c>
      <c r="I98" s="98">
        <v>88.1</v>
      </c>
      <c r="J98" s="98">
        <v>234.5</v>
      </c>
      <c r="K98" s="98">
        <v>90</v>
      </c>
      <c r="L98" s="98">
        <v>57.6</v>
      </c>
      <c r="M98" s="98">
        <v>62.2</v>
      </c>
      <c r="N98" s="98">
        <v>33.5</v>
      </c>
      <c r="O98" s="76">
        <v>801.7</v>
      </c>
      <c r="P98" s="85">
        <f t="shared" si="30"/>
        <v>1.9737166041340463E-2</v>
      </c>
      <c r="Q98" s="86"/>
    </row>
    <row r="99" spans="1:18" ht="15.75" thickBot="1" x14ac:dyDescent="0.3">
      <c r="A99" s="361"/>
      <c r="B99" s="78" t="s">
        <v>58</v>
      </c>
      <c r="C99" s="99">
        <v>189.95</v>
      </c>
      <c r="D99" s="99">
        <v>107.95</v>
      </c>
      <c r="E99" s="99">
        <v>179.1</v>
      </c>
      <c r="F99" s="99">
        <v>245.35</v>
      </c>
      <c r="G99" s="99">
        <v>341.85</v>
      </c>
      <c r="H99" s="99">
        <v>207.85</v>
      </c>
      <c r="I99" s="99">
        <v>107.6</v>
      </c>
      <c r="J99" s="99">
        <v>357.4</v>
      </c>
      <c r="K99" s="99">
        <v>367.25</v>
      </c>
      <c r="L99" s="99">
        <v>220.7</v>
      </c>
      <c r="M99" s="99">
        <v>185.85</v>
      </c>
      <c r="N99" s="99">
        <v>311.89999999999998</v>
      </c>
      <c r="O99" s="97">
        <f t="shared" si="27"/>
        <v>2822.7499999999995</v>
      </c>
      <c r="P99" s="85">
        <f t="shared" si="30"/>
        <v>6.9493682728194811E-2</v>
      </c>
      <c r="Q99" s="86"/>
      <c r="R99" s="193" t="s">
        <v>101</v>
      </c>
    </row>
    <row r="100" spans="1:18" s="121" customFormat="1" ht="15.75" thickBot="1" x14ac:dyDescent="0.3">
      <c r="A100" s="334"/>
      <c r="B100" s="78"/>
      <c r="C100" s="304">
        <f>SUM(C93:C99)</f>
        <v>1112.95</v>
      </c>
      <c r="D100" s="304">
        <f t="shared" ref="D100:O100" si="31">SUM(D93:D99)</f>
        <v>2227.25</v>
      </c>
      <c r="E100" s="304">
        <f t="shared" si="31"/>
        <v>4013.4</v>
      </c>
      <c r="F100" s="304">
        <f t="shared" si="31"/>
        <v>4055.9</v>
      </c>
      <c r="G100" s="304">
        <f t="shared" si="31"/>
        <v>3561.85</v>
      </c>
      <c r="H100" s="304">
        <f t="shared" si="31"/>
        <v>3389.5499999999997</v>
      </c>
      <c r="I100" s="304">
        <f t="shared" si="31"/>
        <v>2428.6999999999998</v>
      </c>
      <c r="J100" s="304">
        <f t="shared" si="31"/>
        <v>3909.9</v>
      </c>
      <c r="K100" s="304">
        <f t="shared" si="31"/>
        <v>4589.75</v>
      </c>
      <c r="L100" s="304">
        <f t="shared" si="31"/>
        <v>4136.3</v>
      </c>
      <c r="M100" s="304">
        <f t="shared" si="31"/>
        <v>4638.05</v>
      </c>
      <c r="N100" s="304">
        <f t="shared" si="31"/>
        <v>3356.9</v>
      </c>
      <c r="O100" s="304">
        <f t="shared" si="31"/>
        <v>41420.5</v>
      </c>
      <c r="P100" s="93"/>
      <c r="Q100"/>
      <c r="R100" s="328">
        <f>SUM(H100:K100)</f>
        <v>14317.9</v>
      </c>
    </row>
    <row r="101" spans="1:18" s="121" customFormat="1" ht="15.75" thickBot="1" x14ac:dyDescent="0.3">
      <c r="A101" s="337"/>
      <c r="B101" s="223"/>
      <c r="C101" s="336"/>
      <c r="D101" s="336"/>
      <c r="E101" s="336"/>
      <c r="F101" s="336"/>
      <c r="G101" s="336"/>
      <c r="H101" s="336"/>
      <c r="I101" s="336"/>
      <c r="J101" s="336"/>
      <c r="K101" s="336"/>
      <c r="L101" s="336"/>
      <c r="M101" s="336"/>
      <c r="N101" s="336"/>
      <c r="O101" s="336"/>
      <c r="P101" s="93"/>
      <c r="Q101"/>
    </row>
    <row r="102" spans="1:18" s="121" customFormat="1" ht="15.75" thickBot="1" x14ac:dyDescent="0.3">
      <c r="A102" s="383">
        <v>2018</v>
      </c>
      <c r="B102" s="384"/>
      <c r="C102" s="384"/>
      <c r="D102" s="384"/>
      <c r="E102" s="384"/>
      <c r="F102" s="384"/>
      <c r="G102" s="384"/>
      <c r="H102" s="384"/>
      <c r="I102" s="384"/>
      <c r="J102" s="384"/>
      <c r="K102" s="384"/>
      <c r="L102" s="384"/>
      <c r="M102" s="384"/>
      <c r="N102" s="384"/>
      <c r="O102" s="385"/>
      <c r="P102"/>
      <c r="Q102"/>
    </row>
    <row r="103" spans="1:18" s="121" customFormat="1" ht="15.75" thickBot="1" x14ac:dyDescent="0.3">
      <c r="A103" s="357"/>
      <c r="B103" s="358"/>
      <c r="C103" s="119" t="s">
        <v>45</v>
      </c>
      <c r="D103" s="119" t="s">
        <v>46</v>
      </c>
      <c r="E103" s="119" t="s">
        <v>47</v>
      </c>
      <c r="F103" s="119" t="s">
        <v>48</v>
      </c>
      <c r="G103" s="119" t="s">
        <v>49</v>
      </c>
      <c r="H103" s="119" t="s">
        <v>50</v>
      </c>
      <c r="I103" s="119" t="s">
        <v>51</v>
      </c>
      <c r="J103" s="119" t="s">
        <v>52</v>
      </c>
      <c r="K103" s="119" t="s">
        <v>44</v>
      </c>
      <c r="L103" s="119" t="s">
        <v>43</v>
      </c>
      <c r="M103" s="119" t="s">
        <v>41</v>
      </c>
      <c r="N103" s="119" t="s">
        <v>42</v>
      </c>
      <c r="O103" s="120" t="s">
        <v>57</v>
      </c>
      <c r="P103" s="379" t="s">
        <v>60</v>
      </c>
      <c r="Q103" s="380"/>
    </row>
    <row r="104" spans="1:18" s="121" customFormat="1" x14ac:dyDescent="0.25">
      <c r="A104" s="381" t="s">
        <v>56</v>
      </c>
      <c r="B104" s="150" t="s">
        <v>55</v>
      </c>
      <c r="C104" s="151">
        <v>0</v>
      </c>
      <c r="D104" s="151">
        <v>8</v>
      </c>
      <c r="E104" s="151">
        <v>0</v>
      </c>
      <c r="F104" s="151">
        <v>0</v>
      </c>
      <c r="G104" s="151">
        <v>2</v>
      </c>
      <c r="H104" s="151">
        <v>5</v>
      </c>
      <c r="I104" s="151">
        <v>15</v>
      </c>
      <c r="J104" s="151">
        <v>2</v>
      </c>
      <c r="K104" s="151">
        <v>31</v>
      </c>
      <c r="L104" s="151">
        <v>1</v>
      </c>
      <c r="M104" s="151">
        <v>9</v>
      </c>
      <c r="N104" s="151">
        <v>6</v>
      </c>
      <c r="O104" s="152">
        <f>SUM(C104:N104)</f>
        <v>79</v>
      </c>
      <c r="P104" s="153">
        <f>O104/($O$104+$O$105)</f>
        <v>1.9235451667884099E-2</v>
      </c>
      <c r="Q104" s="154"/>
    </row>
    <row r="105" spans="1:18" s="121" customFormat="1" ht="15.75" thickBot="1" x14ac:dyDescent="0.3">
      <c r="A105" s="382"/>
      <c r="B105" s="155" t="s">
        <v>63</v>
      </c>
      <c r="C105" s="338">
        <v>327</v>
      </c>
      <c r="D105" s="338">
        <v>138</v>
      </c>
      <c r="E105" s="338">
        <v>259</v>
      </c>
      <c r="F105" s="338">
        <v>325</v>
      </c>
      <c r="G105" s="338">
        <v>601</v>
      </c>
      <c r="H105" s="338">
        <v>177</v>
      </c>
      <c r="I105" s="338">
        <v>283</v>
      </c>
      <c r="J105" s="338">
        <v>359</v>
      </c>
      <c r="K105" s="338">
        <v>435</v>
      </c>
      <c r="L105" s="338">
        <v>552</v>
      </c>
      <c r="M105" s="338">
        <v>314</v>
      </c>
      <c r="N105" s="338">
        <v>258</v>
      </c>
      <c r="O105" s="339">
        <f>SUM(C105:N105)</f>
        <v>4028</v>
      </c>
      <c r="P105" s="153">
        <f>O105/($O$104+$O$105)</f>
        <v>0.9807645483321159</v>
      </c>
      <c r="Q105" s="154"/>
    </row>
    <row r="106" spans="1:18" s="121" customFormat="1" ht="15.75" thickBot="1" x14ac:dyDescent="0.3">
      <c r="A106" s="340"/>
      <c r="B106" s="341"/>
      <c r="C106" s="156">
        <f>SUM(C104:C105)</f>
        <v>327</v>
      </c>
      <c r="D106" s="156">
        <f t="shared" ref="D106:O106" si="32">SUM(D104:D105)</f>
        <v>146</v>
      </c>
      <c r="E106" s="156">
        <f t="shared" si="32"/>
        <v>259</v>
      </c>
      <c r="F106" s="156">
        <f t="shared" si="32"/>
        <v>325</v>
      </c>
      <c r="G106" s="156">
        <f t="shared" si="32"/>
        <v>603</v>
      </c>
      <c r="H106" s="156">
        <f t="shared" si="32"/>
        <v>182</v>
      </c>
      <c r="I106" s="156">
        <f t="shared" si="32"/>
        <v>298</v>
      </c>
      <c r="J106" s="156">
        <f t="shared" si="32"/>
        <v>361</v>
      </c>
      <c r="K106" s="156">
        <f t="shared" si="32"/>
        <v>466</v>
      </c>
      <c r="L106" s="156">
        <f t="shared" si="32"/>
        <v>553</v>
      </c>
      <c r="M106" s="156">
        <f t="shared" si="32"/>
        <v>323</v>
      </c>
      <c r="N106" s="156">
        <f t="shared" si="32"/>
        <v>264</v>
      </c>
      <c r="O106" s="157">
        <f t="shared" si="32"/>
        <v>4107</v>
      </c>
      <c r="P106" s="153"/>
      <c r="Q106" s="154"/>
    </row>
    <row r="107" spans="1:18" s="121" customFormat="1" ht="15.75" thickBot="1" x14ac:dyDescent="0.3">
      <c r="A107" s="357"/>
      <c r="B107" s="358"/>
      <c r="C107" s="318" t="s">
        <v>45</v>
      </c>
      <c r="D107" s="319" t="s">
        <v>46</v>
      </c>
      <c r="E107" s="319" t="s">
        <v>47</v>
      </c>
      <c r="F107" s="319" t="s">
        <v>48</v>
      </c>
      <c r="G107" s="319" t="s">
        <v>49</v>
      </c>
      <c r="H107" s="319" t="s">
        <v>50</v>
      </c>
      <c r="I107" s="319" t="s">
        <v>51</v>
      </c>
      <c r="J107" s="319" t="s">
        <v>52</v>
      </c>
      <c r="K107" s="319" t="s">
        <v>44</v>
      </c>
      <c r="L107" s="319" t="s">
        <v>43</v>
      </c>
      <c r="M107" s="319" t="s">
        <v>41</v>
      </c>
      <c r="N107" s="319" t="s">
        <v>42</v>
      </c>
      <c r="O107" s="320" t="s">
        <v>57</v>
      </c>
      <c r="P107" s="379" t="s">
        <v>60</v>
      </c>
      <c r="Q107" s="380"/>
    </row>
    <row r="108" spans="1:18" s="121" customFormat="1" x14ac:dyDescent="0.25">
      <c r="A108" s="389" t="s">
        <v>38</v>
      </c>
      <c r="B108" s="158" t="s">
        <v>35</v>
      </c>
      <c r="C108" s="159">
        <v>49</v>
      </c>
      <c r="D108" s="159">
        <v>129</v>
      </c>
      <c r="E108" s="159">
        <v>104</v>
      </c>
      <c r="F108" s="159">
        <v>73</v>
      </c>
      <c r="G108" s="159">
        <v>97</v>
      </c>
      <c r="H108" s="159">
        <v>71</v>
      </c>
      <c r="I108" s="159">
        <v>190</v>
      </c>
      <c r="J108" s="159">
        <v>461</v>
      </c>
      <c r="K108" s="159">
        <v>242</v>
      </c>
      <c r="L108" s="159">
        <v>89</v>
      </c>
      <c r="M108" s="159">
        <v>106</v>
      </c>
      <c r="N108" s="159">
        <v>125</v>
      </c>
      <c r="O108" s="160">
        <f t="shared" ref="O108:O122" si="33">SUM(C108:N108)</f>
        <v>1736</v>
      </c>
      <c r="P108" s="161">
        <f t="shared" ref="P108:P113" si="34">O108/($O$108+$O$109+$O$110+$O$111+$O$112+$O$113)</f>
        <v>0.1467455621301775</v>
      </c>
    </row>
    <row r="109" spans="1:18" s="121" customFormat="1" x14ac:dyDescent="0.25">
      <c r="A109" s="390"/>
      <c r="B109" s="162" t="s">
        <v>53</v>
      </c>
      <c r="C109" s="163">
        <v>49</v>
      </c>
      <c r="D109" s="163">
        <v>82</v>
      </c>
      <c r="E109" s="164">
        <v>1824</v>
      </c>
      <c r="F109" s="164">
        <v>136</v>
      </c>
      <c r="G109" s="163">
        <v>87</v>
      </c>
      <c r="H109" s="163">
        <v>37</v>
      </c>
      <c r="I109" s="163">
        <v>83</v>
      </c>
      <c r="J109" s="163">
        <v>71</v>
      </c>
      <c r="K109" s="163">
        <v>166</v>
      </c>
      <c r="L109" s="163">
        <v>126</v>
      </c>
      <c r="M109" s="163">
        <v>86</v>
      </c>
      <c r="N109" s="163">
        <v>93</v>
      </c>
      <c r="O109" s="165">
        <f t="shared" si="33"/>
        <v>2840</v>
      </c>
      <c r="P109" s="161">
        <f t="shared" si="34"/>
        <v>0.2400676246830093</v>
      </c>
    </row>
    <row r="110" spans="1:18" s="121" customFormat="1" x14ac:dyDescent="0.25">
      <c r="A110" s="390"/>
      <c r="B110" s="162" t="s">
        <v>36</v>
      </c>
      <c r="C110" s="166">
        <v>6</v>
      </c>
      <c r="D110" s="166">
        <v>16</v>
      </c>
      <c r="E110" s="166">
        <v>52</v>
      </c>
      <c r="F110" s="166">
        <v>47</v>
      </c>
      <c r="G110" s="166">
        <v>77</v>
      </c>
      <c r="H110" s="166">
        <v>58</v>
      </c>
      <c r="I110" s="166">
        <v>78</v>
      </c>
      <c r="J110" s="166">
        <v>150</v>
      </c>
      <c r="K110" s="166">
        <v>78</v>
      </c>
      <c r="L110" s="166">
        <v>75</v>
      </c>
      <c r="M110" s="166">
        <v>75</v>
      </c>
      <c r="N110" s="166">
        <v>110</v>
      </c>
      <c r="O110" s="165">
        <f>SUM(C110:N110)</f>
        <v>822</v>
      </c>
      <c r="P110" s="161">
        <f t="shared" si="34"/>
        <v>6.9484361792054097E-2</v>
      </c>
      <c r="Q110" s="167"/>
    </row>
    <row r="111" spans="1:18" s="121" customFormat="1" x14ac:dyDescent="0.25">
      <c r="A111" s="390"/>
      <c r="B111" s="162" t="s">
        <v>37</v>
      </c>
      <c r="C111" s="166">
        <v>17</v>
      </c>
      <c r="D111" s="166">
        <v>19</v>
      </c>
      <c r="E111" s="166">
        <v>17</v>
      </c>
      <c r="F111" s="166">
        <v>28</v>
      </c>
      <c r="G111" s="166">
        <v>35</v>
      </c>
      <c r="H111" s="166">
        <v>25</v>
      </c>
      <c r="I111" s="166">
        <v>33</v>
      </c>
      <c r="J111" s="166">
        <v>22</v>
      </c>
      <c r="K111" s="166">
        <v>27</v>
      </c>
      <c r="L111" s="166">
        <v>23</v>
      </c>
      <c r="M111" s="166">
        <v>62</v>
      </c>
      <c r="N111" s="166">
        <v>17</v>
      </c>
      <c r="O111" s="165">
        <f>SUM(C111:N111)</f>
        <v>325</v>
      </c>
      <c r="P111" s="161">
        <f t="shared" si="34"/>
        <v>2.7472527472527472E-2</v>
      </c>
    </row>
    <row r="112" spans="1:18" s="121" customFormat="1" x14ac:dyDescent="0.25">
      <c r="A112" s="390"/>
      <c r="B112" s="162" t="s">
        <v>54</v>
      </c>
      <c r="C112" s="163">
        <v>248</v>
      </c>
      <c r="D112" s="163">
        <v>152</v>
      </c>
      <c r="E112" s="163">
        <v>347</v>
      </c>
      <c r="F112" s="163">
        <v>558</v>
      </c>
      <c r="G112" s="163">
        <v>666</v>
      </c>
      <c r="H112" s="163">
        <v>494</v>
      </c>
      <c r="I112" s="163">
        <v>279</v>
      </c>
      <c r="J112" s="163">
        <v>74</v>
      </c>
      <c r="K112" s="163">
        <v>401</v>
      </c>
      <c r="L112" s="163">
        <v>2035</v>
      </c>
      <c r="M112" s="163">
        <v>782</v>
      </c>
      <c r="N112" s="163">
        <v>71</v>
      </c>
      <c r="O112" s="165">
        <f t="shared" si="33"/>
        <v>6107</v>
      </c>
      <c r="P112" s="161">
        <f t="shared" si="34"/>
        <v>0.51622992392223166</v>
      </c>
    </row>
    <row r="113" spans="1:18" s="121" customFormat="1" ht="15.75" thickBot="1" x14ac:dyDescent="0.3">
      <c r="A113" s="391"/>
      <c r="B113" s="168" t="s">
        <v>40</v>
      </c>
      <c r="C113" s="169"/>
      <c r="D113" s="169"/>
      <c r="E113" s="169"/>
      <c r="F113" s="169"/>
      <c r="G113" s="169"/>
      <c r="H113" s="169"/>
      <c r="I113" s="169"/>
      <c r="J113" s="169"/>
      <c r="K113" s="169"/>
      <c r="L113" s="169"/>
      <c r="M113" s="169"/>
      <c r="N113" s="169"/>
      <c r="O113" s="170">
        <f t="shared" si="33"/>
        <v>0</v>
      </c>
      <c r="P113" s="161">
        <f t="shared" si="34"/>
        <v>0</v>
      </c>
      <c r="R113" s="193" t="s">
        <v>101</v>
      </c>
    </row>
    <row r="114" spans="1:18" s="121" customFormat="1" ht="15.75" thickBot="1" x14ac:dyDescent="0.3">
      <c r="A114" s="326"/>
      <c r="B114" s="168"/>
      <c r="C114" s="169">
        <f>SUM(C108:C113)</f>
        <v>369</v>
      </c>
      <c r="D114" s="169">
        <f t="shared" ref="D114:O114" si="35">SUM(D108:D113)</f>
        <v>398</v>
      </c>
      <c r="E114" s="169">
        <f t="shared" si="35"/>
        <v>2344</v>
      </c>
      <c r="F114" s="169">
        <f t="shared" si="35"/>
        <v>842</v>
      </c>
      <c r="G114" s="169">
        <f t="shared" si="35"/>
        <v>962</v>
      </c>
      <c r="H114" s="169">
        <f t="shared" si="35"/>
        <v>685</v>
      </c>
      <c r="I114" s="169">
        <f t="shared" si="35"/>
        <v>663</v>
      </c>
      <c r="J114" s="169">
        <f t="shared" si="35"/>
        <v>778</v>
      </c>
      <c r="K114" s="169">
        <f t="shared" si="35"/>
        <v>914</v>
      </c>
      <c r="L114" s="169">
        <f t="shared" si="35"/>
        <v>2348</v>
      </c>
      <c r="M114" s="169">
        <f t="shared" si="35"/>
        <v>1111</v>
      </c>
      <c r="N114" s="169">
        <f t="shared" si="35"/>
        <v>416</v>
      </c>
      <c r="O114" s="327">
        <f t="shared" si="35"/>
        <v>11830</v>
      </c>
      <c r="P114" s="161"/>
      <c r="R114" s="121">
        <f>SUM(H114:K114)</f>
        <v>3040</v>
      </c>
    </row>
    <row r="115" spans="1:18" s="121" customFormat="1" ht="15.75" thickBot="1" x14ac:dyDescent="0.3">
      <c r="A115" s="326"/>
      <c r="B115" s="321"/>
      <c r="C115" s="122" t="s">
        <v>45</v>
      </c>
      <c r="D115" s="122" t="s">
        <v>46</v>
      </c>
      <c r="E115" s="122" t="s">
        <v>47</v>
      </c>
      <c r="F115" s="122" t="s">
        <v>48</v>
      </c>
      <c r="G115" s="122" t="s">
        <v>49</v>
      </c>
      <c r="H115" s="122" t="s">
        <v>50</v>
      </c>
      <c r="I115" s="122" t="s">
        <v>51</v>
      </c>
      <c r="J115" s="122" t="s">
        <v>52</v>
      </c>
      <c r="K115" s="122" t="s">
        <v>44</v>
      </c>
      <c r="L115" s="122" t="s">
        <v>43</v>
      </c>
      <c r="M115" s="122" t="s">
        <v>41</v>
      </c>
      <c r="N115" s="122" t="s">
        <v>42</v>
      </c>
      <c r="O115" s="123" t="s">
        <v>57</v>
      </c>
      <c r="P115" s="128" t="s">
        <v>59</v>
      </c>
      <c r="Q115" s="128" t="s">
        <v>16</v>
      </c>
    </row>
    <row r="116" spans="1:18" s="121" customFormat="1" x14ac:dyDescent="0.25">
      <c r="A116" s="389" t="s">
        <v>39</v>
      </c>
      <c r="B116" s="162" t="s">
        <v>35</v>
      </c>
      <c r="C116" s="171">
        <v>100</v>
      </c>
      <c r="D116" s="171">
        <v>280</v>
      </c>
      <c r="E116" s="171">
        <v>239</v>
      </c>
      <c r="F116" s="171">
        <v>208</v>
      </c>
      <c r="G116" s="171">
        <v>209</v>
      </c>
      <c r="H116" s="171">
        <v>167</v>
      </c>
      <c r="I116" s="171">
        <v>449</v>
      </c>
      <c r="J116" s="171">
        <v>903</v>
      </c>
      <c r="K116" s="171">
        <v>609</v>
      </c>
      <c r="L116" s="171">
        <v>200</v>
      </c>
      <c r="M116" s="171">
        <v>222</v>
      </c>
      <c r="N116" s="171">
        <v>245</v>
      </c>
      <c r="O116" s="172">
        <f t="shared" si="33"/>
        <v>3831</v>
      </c>
      <c r="P116" s="161">
        <f>O116/($O$116+$O$117+$O$118+$O$119+$O$120+$O$122)</f>
        <v>0.12540734472616449</v>
      </c>
      <c r="Q116" s="173">
        <f>O116/O108</f>
        <v>2.2067972350230414</v>
      </c>
    </row>
    <row r="117" spans="1:18" s="121" customFormat="1" x14ac:dyDescent="0.25">
      <c r="A117" s="390"/>
      <c r="B117" s="162" t="s">
        <v>53</v>
      </c>
      <c r="C117" s="171">
        <v>236</v>
      </c>
      <c r="D117" s="171">
        <v>275</v>
      </c>
      <c r="E117" s="171">
        <v>2011</v>
      </c>
      <c r="F117" s="171">
        <v>432</v>
      </c>
      <c r="G117" s="171">
        <v>364</v>
      </c>
      <c r="H117" s="171">
        <v>159</v>
      </c>
      <c r="I117" s="171">
        <v>358</v>
      </c>
      <c r="J117" s="171">
        <v>328</v>
      </c>
      <c r="K117" s="171">
        <v>587</v>
      </c>
      <c r="L117" s="171">
        <v>149</v>
      </c>
      <c r="M117" s="171">
        <v>346</v>
      </c>
      <c r="N117" s="171">
        <v>350</v>
      </c>
      <c r="O117" s="172">
        <f t="shared" si="33"/>
        <v>5595</v>
      </c>
      <c r="P117" s="161">
        <f t="shared" ref="P117:P122" si="36">O117/($O$116+$O$117+$O$118+$O$119+$O$120+$O$122)</f>
        <v>0.18315168200023241</v>
      </c>
      <c r="Q117" s="173">
        <f>O117/O109</f>
        <v>1.9700704225352113</v>
      </c>
    </row>
    <row r="118" spans="1:18" s="121" customFormat="1" x14ac:dyDescent="0.25">
      <c r="A118" s="390"/>
      <c r="B118" s="162" t="s">
        <v>36</v>
      </c>
      <c r="C118" s="174">
        <v>16</v>
      </c>
      <c r="D118" s="174">
        <v>46</v>
      </c>
      <c r="E118" s="174">
        <v>137</v>
      </c>
      <c r="F118" s="174">
        <v>112</v>
      </c>
      <c r="G118" s="174">
        <v>210</v>
      </c>
      <c r="H118" s="174">
        <v>152</v>
      </c>
      <c r="I118" s="174">
        <v>211</v>
      </c>
      <c r="J118" s="174">
        <v>411</v>
      </c>
      <c r="K118" s="174">
        <v>213</v>
      </c>
      <c r="L118" s="174">
        <v>208</v>
      </c>
      <c r="M118" s="174">
        <v>201</v>
      </c>
      <c r="N118" s="174">
        <v>310</v>
      </c>
      <c r="O118" s="172">
        <f>SUM(C118:N118)</f>
        <v>2227</v>
      </c>
      <c r="P118" s="161">
        <f t="shared" si="36"/>
        <v>7.2900589064256935E-2</v>
      </c>
      <c r="Q118" s="173">
        <f>O118/O110</f>
        <v>2.7092457420924574</v>
      </c>
    </row>
    <row r="119" spans="1:18" s="121" customFormat="1" x14ac:dyDescent="0.25">
      <c r="A119" s="390"/>
      <c r="B119" s="162" t="s">
        <v>37</v>
      </c>
      <c r="C119" s="174">
        <v>26.5</v>
      </c>
      <c r="D119" s="174">
        <v>36</v>
      </c>
      <c r="E119" s="174">
        <v>30</v>
      </c>
      <c r="F119" s="174">
        <v>48.5</v>
      </c>
      <c r="G119" s="174">
        <v>60</v>
      </c>
      <c r="H119" s="174">
        <v>15.5</v>
      </c>
      <c r="I119" s="174">
        <v>44.5</v>
      </c>
      <c r="J119" s="174">
        <v>41</v>
      </c>
      <c r="K119" s="174">
        <v>49.5</v>
      </c>
      <c r="L119" s="174">
        <v>37.5</v>
      </c>
      <c r="M119" s="174">
        <v>94</v>
      </c>
      <c r="N119" s="174">
        <v>28.5</v>
      </c>
      <c r="O119" s="172">
        <f>SUM(C119:N119)</f>
        <v>511.5</v>
      </c>
      <c r="P119" s="161">
        <f t="shared" si="36"/>
        <v>1.6743893716375136E-2</v>
      </c>
      <c r="Q119" s="173">
        <f>O119/O111</f>
        <v>1.5738461538461539</v>
      </c>
    </row>
    <row r="120" spans="1:18" s="121" customFormat="1" x14ac:dyDescent="0.25">
      <c r="A120" s="390"/>
      <c r="B120" s="162" t="s">
        <v>54</v>
      </c>
      <c r="C120" s="174">
        <v>495.5</v>
      </c>
      <c r="D120" s="174">
        <v>244.5</v>
      </c>
      <c r="E120" s="174">
        <v>748.5</v>
      </c>
      <c r="F120" s="174">
        <v>1930.5</v>
      </c>
      <c r="G120" s="174">
        <v>863.75</v>
      </c>
      <c r="H120" s="174">
        <v>1064.5</v>
      </c>
      <c r="I120" s="174">
        <v>304</v>
      </c>
      <c r="J120" s="174">
        <v>376</v>
      </c>
      <c r="K120" s="174">
        <v>571</v>
      </c>
      <c r="L120" s="174">
        <v>5224</v>
      </c>
      <c r="M120" s="174">
        <v>2396.5</v>
      </c>
      <c r="N120" s="174">
        <v>212.5</v>
      </c>
      <c r="O120" s="172">
        <f t="shared" si="33"/>
        <v>14431.25</v>
      </c>
      <c r="P120" s="161">
        <f t="shared" si="36"/>
        <v>0.47240531025305704</v>
      </c>
      <c r="Q120" s="173">
        <f>O120/O112</f>
        <v>2.363066972326838</v>
      </c>
    </row>
    <row r="121" spans="1:18" s="121" customFormat="1" x14ac:dyDescent="0.25">
      <c r="A121" s="390"/>
      <c r="B121" s="162" t="s">
        <v>62</v>
      </c>
      <c r="C121" s="174">
        <v>0</v>
      </c>
      <c r="D121" s="174">
        <v>6.5</v>
      </c>
      <c r="E121" s="174">
        <v>8</v>
      </c>
      <c r="F121" s="174">
        <v>26</v>
      </c>
      <c r="G121" s="174">
        <v>7.6</v>
      </c>
      <c r="H121" s="174">
        <v>32</v>
      </c>
      <c r="I121" s="174">
        <v>90</v>
      </c>
      <c r="J121" s="174">
        <v>85.6</v>
      </c>
      <c r="K121" s="174">
        <v>59</v>
      </c>
      <c r="L121" s="174">
        <v>13.5</v>
      </c>
      <c r="M121" s="174">
        <v>54.5</v>
      </c>
      <c r="N121" s="174">
        <v>9</v>
      </c>
      <c r="O121" s="172">
        <f t="shared" si="33"/>
        <v>391.7</v>
      </c>
      <c r="P121" s="161">
        <f t="shared" si="36"/>
        <v>1.2822254484270068E-2</v>
      </c>
      <c r="Q121" s="173"/>
    </row>
    <row r="122" spans="1:18" ht="15.75" thickBot="1" x14ac:dyDescent="0.3">
      <c r="A122" s="391"/>
      <c r="B122" s="168" t="s">
        <v>58</v>
      </c>
      <c r="C122" s="175">
        <v>71.8</v>
      </c>
      <c r="D122" s="175">
        <v>63.45</v>
      </c>
      <c r="E122" s="175">
        <v>212.7</v>
      </c>
      <c r="F122" s="175">
        <v>238.15</v>
      </c>
      <c r="G122" s="175">
        <v>457</v>
      </c>
      <c r="H122" s="175">
        <v>236.1</v>
      </c>
      <c r="I122" s="175">
        <v>185.65</v>
      </c>
      <c r="J122" s="175">
        <v>438</v>
      </c>
      <c r="K122" s="175">
        <v>280.5</v>
      </c>
      <c r="L122" s="175">
        <v>1289.45</v>
      </c>
      <c r="M122" s="175">
        <v>351.25</v>
      </c>
      <c r="N122" s="175">
        <v>128.65</v>
      </c>
      <c r="O122" s="176">
        <f t="shared" si="33"/>
        <v>3952.7000000000003</v>
      </c>
      <c r="P122" s="161">
        <f t="shared" si="36"/>
        <v>0.12939118023991397</v>
      </c>
      <c r="Q122" s="173"/>
      <c r="R122" s="193" t="s">
        <v>101</v>
      </c>
    </row>
    <row r="123" spans="1:18" x14ac:dyDescent="0.25">
      <c r="B123" s="121"/>
      <c r="C123" s="328">
        <f>SUM(C116:C122)</f>
        <v>945.8</v>
      </c>
      <c r="D123" s="328">
        <f t="shared" ref="D123:O123" si="37">SUM(D116:D122)</f>
        <v>951.45</v>
      </c>
      <c r="E123" s="328">
        <f t="shared" si="37"/>
        <v>3386.2</v>
      </c>
      <c r="F123" s="328">
        <f t="shared" si="37"/>
        <v>2995.15</v>
      </c>
      <c r="G123" s="328">
        <f t="shared" si="37"/>
        <v>2171.35</v>
      </c>
      <c r="H123" s="328">
        <f t="shared" si="37"/>
        <v>1826.1</v>
      </c>
      <c r="I123" s="328">
        <f t="shared" si="37"/>
        <v>1642.15</v>
      </c>
      <c r="J123" s="328">
        <f t="shared" si="37"/>
        <v>2582.6</v>
      </c>
      <c r="K123" s="328">
        <f t="shared" si="37"/>
        <v>2369</v>
      </c>
      <c r="L123" s="328">
        <f t="shared" si="37"/>
        <v>7121.45</v>
      </c>
      <c r="M123" s="328">
        <f t="shared" si="37"/>
        <v>3665.25</v>
      </c>
      <c r="N123" s="328">
        <f t="shared" si="37"/>
        <v>1283.6500000000001</v>
      </c>
      <c r="O123" s="329">
        <f t="shared" si="37"/>
        <v>30940.15</v>
      </c>
      <c r="P123" s="121"/>
      <c r="Q123" s="121"/>
      <c r="R123" s="351">
        <f>SUM(H123:K123)</f>
        <v>8419.85</v>
      </c>
    </row>
    <row r="124" spans="1:18" x14ac:dyDescent="0.25">
      <c r="C124" s="71"/>
    </row>
  </sheetData>
  <mergeCells count="43">
    <mergeCell ref="A116:A122"/>
    <mergeCell ref="A108:A113"/>
    <mergeCell ref="A107:B107"/>
    <mergeCell ref="A84:B84"/>
    <mergeCell ref="A102:O102"/>
    <mergeCell ref="A93:A99"/>
    <mergeCell ref="A103:B103"/>
    <mergeCell ref="A92:B92"/>
    <mergeCell ref="A79:O79"/>
    <mergeCell ref="A70:A76"/>
    <mergeCell ref="A81:A82"/>
    <mergeCell ref="A80:B80"/>
    <mergeCell ref="A62:A67"/>
    <mergeCell ref="A31:A32"/>
    <mergeCell ref="A30:B30"/>
    <mergeCell ref="A35:B35"/>
    <mergeCell ref="A57:B57"/>
    <mergeCell ref="A61:B61"/>
    <mergeCell ref="A1:O1"/>
    <mergeCell ref="A2:B2"/>
    <mergeCell ref="P2:Q2"/>
    <mergeCell ref="A3:A4"/>
    <mergeCell ref="A7:B7"/>
    <mergeCell ref="P7:Q7"/>
    <mergeCell ref="A8:A14"/>
    <mergeCell ref="A18:A26"/>
    <mergeCell ref="A17:B17"/>
    <mergeCell ref="P30:Q30"/>
    <mergeCell ref="A29:O29"/>
    <mergeCell ref="P35:Q35"/>
    <mergeCell ref="P61:Q61"/>
    <mergeCell ref="P57:Q57"/>
    <mergeCell ref="A46:A53"/>
    <mergeCell ref="A45:B45"/>
    <mergeCell ref="A56:O56"/>
    <mergeCell ref="A58:A59"/>
    <mergeCell ref="A36:A42"/>
    <mergeCell ref="P80:Q80"/>
    <mergeCell ref="P103:Q103"/>
    <mergeCell ref="P107:Q107"/>
    <mergeCell ref="P84:Q84"/>
    <mergeCell ref="A104:A105"/>
    <mergeCell ref="A85:A90"/>
  </mergeCells>
  <phoneticPr fontId="0"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23C5-2967-484A-B08A-99A75049E581}">
  <dimension ref="A1:N24"/>
  <sheetViews>
    <sheetView topLeftCell="A25" workbookViewId="0">
      <selection activeCell="P24" sqref="P24"/>
    </sheetView>
  </sheetViews>
  <sheetFormatPr defaultRowHeight="15" x14ac:dyDescent="0.25"/>
  <cols>
    <col min="2" max="7" width="11.140625" bestFit="1" customWidth="1"/>
    <col min="8" max="8" width="11" bestFit="1" customWidth="1"/>
    <col min="9" max="13" width="11.140625" bestFit="1" customWidth="1"/>
    <col min="14" max="14" width="13.140625" bestFit="1" customWidth="1"/>
  </cols>
  <sheetData>
    <row r="1" spans="1:14" x14ac:dyDescent="0.25">
      <c r="A1" s="393" t="s">
        <v>97</v>
      </c>
      <c r="B1" s="393"/>
      <c r="C1" s="393"/>
      <c r="D1" s="393"/>
      <c r="E1" s="393"/>
      <c r="F1" s="393"/>
      <c r="G1" s="393"/>
      <c r="H1" s="393"/>
      <c r="I1" s="393"/>
      <c r="J1" s="393"/>
      <c r="K1" s="393"/>
      <c r="L1" s="393"/>
      <c r="M1" s="393"/>
    </row>
    <row r="2" spans="1:14" x14ac:dyDescent="0.25">
      <c r="B2" s="119" t="s">
        <v>45</v>
      </c>
      <c r="C2" s="119" t="s">
        <v>46</v>
      </c>
      <c r="D2" s="119" t="s">
        <v>47</v>
      </c>
      <c r="E2" s="119" t="s">
        <v>48</v>
      </c>
      <c r="F2" s="119" t="s">
        <v>49</v>
      </c>
      <c r="G2" s="119" t="s">
        <v>50</v>
      </c>
      <c r="H2" s="119" t="s">
        <v>51</v>
      </c>
      <c r="I2" s="119" t="s">
        <v>52</v>
      </c>
      <c r="J2" s="119" t="s">
        <v>44</v>
      </c>
      <c r="K2" s="119" t="s">
        <v>43</v>
      </c>
      <c r="L2" s="119" t="s">
        <v>41</v>
      </c>
      <c r="M2" s="119" t="s">
        <v>42</v>
      </c>
      <c r="N2" s="119" t="s">
        <v>57</v>
      </c>
    </row>
    <row r="3" spans="1:14" x14ac:dyDescent="0.25">
      <c r="A3" s="233">
        <v>2022</v>
      </c>
      <c r="B3" s="330">
        <f>'Evolució mensual_anys'!C15</f>
        <v>733</v>
      </c>
      <c r="C3" s="330">
        <f>'Evolució mensual_anys'!D15</f>
        <v>907</v>
      </c>
      <c r="D3" s="330">
        <f>'Evolució mensual_anys'!E15</f>
        <v>651</v>
      </c>
      <c r="E3" s="330">
        <f>'Evolució mensual_anys'!F15</f>
        <v>2236</v>
      </c>
      <c r="F3" s="330">
        <f>'Evolució mensual_anys'!G15</f>
        <v>978</v>
      </c>
      <c r="G3" s="330">
        <f>'Evolució mensual_anys'!H15</f>
        <v>726</v>
      </c>
      <c r="H3" s="330">
        <f>'Evolució mensual_anys'!I15</f>
        <v>848</v>
      </c>
      <c r="I3" s="330">
        <f>'Evolució mensual_anys'!J15</f>
        <v>1307</v>
      </c>
      <c r="J3" s="330">
        <f>'Evolució mensual_anys'!K15</f>
        <v>1256</v>
      </c>
      <c r="K3" s="330">
        <f>'Evolució mensual_anys'!L15</f>
        <v>1898</v>
      </c>
      <c r="L3" s="330">
        <f>'Evolució mensual_anys'!M15</f>
        <v>0</v>
      </c>
      <c r="M3" s="330">
        <f>'Evolució mensual_anys'!N15</f>
        <v>0</v>
      </c>
      <c r="N3" s="192">
        <f>SUM(B3:M3)</f>
        <v>11540</v>
      </c>
    </row>
    <row r="4" spans="1:14" x14ac:dyDescent="0.25">
      <c r="A4" s="233">
        <v>2021</v>
      </c>
      <c r="B4" s="330">
        <f>'Evolució mensual_anys'!C43</f>
        <v>123</v>
      </c>
      <c r="C4" s="330">
        <f>'Evolució mensual_anys'!D43</f>
        <v>170</v>
      </c>
      <c r="D4" s="330">
        <f>'Evolució mensual_anys'!E43</f>
        <v>359</v>
      </c>
      <c r="E4" s="330">
        <f>'Evolució mensual_anys'!F43</f>
        <v>707</v>
      </c>
      <c r="F4" s="330">
        <f>'Evolució mensual_anys'!G43</f>
        <v>895</v>
      </c>
      <c r="G4" s="330">
        <f>'Evolució mensual_anys'!H43</f>
        <v>510</v>
      </c>
      <c r="H4" s="330">
        <f>'Evolució mensual_anys'!I43</f>
        <v>798</v>
      </c>
      <c r="I4" s="330">
        <f>'Evolució mensual_anys'!J43</f>
        <v>1896</v>
      </c>
      <c r="J4" s="330">
        <f>'Evolució mensual_anys'!K43</f>
        <v>1291</v>
      </c>
      <c r="K4" s="330">
        <f>'Evolució mensual_anys'!L43</f>
        <v>1323</v>
      </c>
      <c r="L4" s="330">
        <f>'Evolució mensual_anys'!M43</f>
        <v>840</v>
      </c>
      <c r="M4" s="330">
        <f>'Evolució mensual_anys'!N43</f>
        <v>593</v>
      </c>
      <c r="N4" s="192">
        <f t="shared" ref="N4:N7" si="0">SUM(B4:M4)</f>
        <v>9505</v>
      </c>
    </row>
    <row r="5" spans="1:14" x14ac:dyDescent="0.25">
      <c r="A5" s="233">
        <v>2020</v>
      </c>
      <c r="B5" s="330">
        <f>'Evolució mensual_anys'!C68</f>
        <v>1036</v>
      </c>
      <c r="C5" s="330">
        <f>'Evolució mensual_anys'!D68</f>
        <v>1375</v>
      </c>
      <c r="D5" s="330">
        <f>'Evolució mensual_anys'!E68</f>
        <v>403</v>
      </c>
      <c r="E5" s="330">
        <f>'Evolució mensual_anys'!F68</f>
        <v>0</v>
      </c>
      <c r="F5" s="330">
        <f>'Evolució mensual_anys'!G68</f>
        <v>0</v>
      </c>
      <c r="G5" s="330">
        <f>'Evolució mensual_anys'!H68</f>
        <v>126</v>
      </c>
      <c r="H5" s="330">
        <f>'Evolució mensual_anys'!I68</f>
        <v>742</v>
      </c>
      <c r="I5" s="330">
        <f>'Evolució mensual_anys'!J68</f>
        <v>1589</v>
      </c>
      <c r="J5" s="330">
        <f>'Evolució mensual_anys'!K68</f>
        <v>1379</v>
      </c>
      <c r="K5" s="330">
        <f>'Evolució mensual_anys'!L68</f>
        <v>1001</v>
      </c>
      <c r="L5" s="330">
        <f>'Evolució mensual_anys'!M68</f>
        <v>206</v>
      </c>
      <c r="M5" s="330">
        <f>'Evolució mensual_anys'!N68</f>
        <v>267</v>
      </c>
      <c r="N5" s="192">
        <f t="shared" si="0"/>
        <v>8124</v>
      </c>
    </row>
    <row r="6" spans="1:14" x14ac:dyDescent="0.25">
      <c r="A6" s="233">
        <v>2019</v>
      </c>
      <c r="B6" s="330">
        <f>'Evolució mensual_anys'!C91</f>
        <v>402</v>
      </c>
      <c r="C6" s="330">
        <f>'Evolució mensual_anys'!D91</f>
        <v>886</v>
      </c>
      <c r="D6" s="330">
        <f>'Evolució mensual_anys'!E91</f>
        <v>1086</v>
      </c>
      <c r="E6" s="330">
        <f>'Evolució mensual_anys'!F91</f>
        <v>2438</v>
      </c>
      <c r="F6" s="330">
        <f>'Evolució mensual_anys'!G91</f>
        <v>1083</v>
      </c>
      <c r="G6" s="330">
        <f>'Evolució mensual_anys'!H91</f>
        <v>1030</v>
      </c>
      <c r="H6" s="330">
        <f>'Evolució mensual_anys'!I91</f>
        <v>873</v>
      </c>
      <c r="I6" s="330">
        <f>'Evolució mensual_anys'!J91</f>
        <v>1326</v>
      </c>
      <c r="J6" s="330">
        <f>'Evolució mensual_anys'!K91</f>
        <v>1613</v>
      </c>
      <c r="K6" s="330">
        <f>'Evolució mensual_anys'!L91</f>
        <v>1991</v>
      </c>
      <c r="L6" s="330">
        <f>'Evolució mensual_anys'!M91</f>
        <v>1953</v>
      </c>
      <c r="M6" s="330">
        <f>'Evolució mensual_anys'!N91</f>
        <v>1256</v>
      </c>
      <c r="N6" s="192">
        <f t="shared" si="0"/>
        <v>15937</v>
      </c>
    </row>
    <row r="7" spans="1:14" x14ac:dyDescent="0.25">
      <c r="A7" s="233">
        <v>2018</v>
      </c>
      <c r="B7" s="330">
        <f>'Evolució mensual_anys'!C106</f>
        <v>327</v>
      </c>
      <c r="C7" s="330">
        <f>'Evolució mensual_anys'!D106</f>
        <v>146</v>
      </c>
      <c r="D7" s="330">
        <f>'Evolució mensual_anys'!E106</f>
        <v>259</v>
      </c>
      <c r="E7" s="330">
        <f>'Evolució mensual_anys'!F106</f>
        <v>325</v>
      </c>
      <c r="F7" s="330">
        <f>'Evolució mensual_anys'!G106</f>
        <v>603</v>
      </c>
      <c r="G7" s="330">
        <f>'Evolució mensual_anys'!H106</f>
        <v>182</v>
      </c>
      <c r="H7" s="330">
        <f>'Evolució mensual_anys'!I106</f>
        <v>298</v>
      </c>
      <c r="I7" s="330">
        <f>'Evolució mensual_anys'!J106</f>
        <v>361</v>
      </c>
      <c r="J7" s="330">
        <f>'Evolució mensual_anys'!K106</f>
        <v>466</v>
      </c>
      <c r="K7" s="330">
        <f>'Evolució mensual_anys'!L106</f>
        <v>553</v>
      </c>
      <c r="L7" s="330">
        <f>'Evolució mensual_anys'!M106</f>
        <v>323</v>
      </c>
      <c r="M7" s="330">
        <f>'Evolució mensual_anys'!N106</f>
        <v>264</v>
      </c>
      <c r="N7" s="192">
        <f t="shared" si="0"/>
        <v>4107</v>
      </c>
    </row>
    <row r="8" spans="1:14" x14ac:dyDescent="0.25">
      <c r="L8" s="392" t="s">
        <v>99</v>
      </c>
      <c r="M8" s="392"/>
      <c r="N8" s="192">
        <f>SUM(N3:N7)</f>
        <v>49213</v>
      </c>
    </row>
    <row r="9" spans="1:14" x14ac:dyDescent="0.25">
      <c r="A9" s="393" t="s">
        <v>39</v>
      </c>
      <c r="B9" s="393"/>
      <c r="C9" s="393"/>
      <c r="D9" s="393"/>
      <c r="E9" s="393"/>
      <c r="F9" s="393"/>
      <c r="G9" s="393"/>
      <c r="H9" s="393"/>
      <c r="I9" s="393"/>
      <c r="J9" s="393"/>
      <c r="K9" s="393"/>
      <c r="L9" s="393"/>
      <c r="M9" s="393"/>
    </row>
    <row r="10" spans="1:14" x14ac:dyDescent="0.25">
      <c r="B10" s="119" t="s">
        <v>45</v>
      </c>
      <c r="C10" s="119" t="s">
        <v>46</v>
      </c>
      <c r="D10" s="119" t="s">
        <v>47</v>
      </c>
      <c r="E10" s="119" t="s">
        <v>48</v>
      </c>
      <c r="F10" s="119" t="s">
        <v>49</v>
      </c>
      <c r="G10" s="119" t="s">
        <v>50</v>
      </c>
      <c r="H10" s="119" t="s">
        <v>51</v>
      </c>
      <c r="I10" s="119" t="s">
        <v>52</v>
      </c>
      <c r="J10" s="119" t="s">
        <v>44</v>
      </c>
      <c r="K10" s="119" t="s">
        <v>43</v>
      </c>
      <c r="L10" s="119" t="s">
        <v>41</v>
      </c>
      <c r="M10" s="119" t="s">
        <v>42</v>
      </c>
      <c r="N10" s="119" t="s">
        <v>57</v>
      </c>
    </row>
    <row r="11" spans="1:14" x14ac:dyDescent="0.25">
      <c r="A11" s="233">
        <v>2022</v>
      </c>
      <c r="B11" s="259">
        <f>'Evolució mensual_anys'!C27</f>
        <v>2515.91</v>
      </c>
      <c r="C11" s="259">
        <f>'Evolució mensual_anys'!D27</f>
        <v>2829.4599999999996</v>
      </c>
      <c r="D11" s="259">
        <f>'Evolució mensual_anys'!E27</f>
        <v>2786.0099999999998</v>
      </c>
      <c r="E11" s="259">
        <f>'Evolució mensual_anys'!F27</f>
        <v>8729.7099999999991</v>
      </c>
      <c r="F11" s="259">
        <f>'Evolució mensual_anys'!G27</f>
        <v>3847.8100000000004</v>
      </c>
      <c r="G11" s="259">
        <f>'Evolució mensual_anys'!H27</f>
        <v>2449.6600000000003</v>
      </c>
      <c r="H11" s="259">
        <f>'Evolució mensual_anys'!I27</f>
        <v>3245.58</v>
      </c>
      <c r="I11" s="259">
        <f>'Evolució mensual_anys'!J27</f>
        <v>5172.8600000000006</v>
      </c>
      <c r="J11" s="259">
        <f>'Evolució mensual_anys'!K27</f>
        <v>5439.1500000000005</v>
      </c>
      <c r="K11" s="259">
        <f>'Evolució mensual_anys'!L27</f>
        <v>6455.1799999999994</v>
      </c>
      <c r="L11" s="259">
        <f>'Evolució mensual_anys'!M27</f>
        <v>0</v>
      </c>
      <c r="M11" s="259">
        <f>'Evolució mensual_anys'!N27</f>
        <v>0</v>
      </c>
      <c r="N11" s="259">
        <f>SUM(B11:M11)</f>
        <v>43471.33</v>
      </c>
    </row>
    <row r="12" spans="1:14" x14ac:dyDescent="0.25">
      <c r="A12" s="233">
        <v>2021</v>
      </c>
      <c r="B12" s="259">
        <f>'Evolució mensual_anys'!C54</f>
        <v>320</v>
      </c>
      <c r="C12" s="259">
        <f>'Evolució mensual_anys'!D54</f>
        <v>609.25</v>
      </c>
      <c r="D12" s="259">
        <f>'Evolució mensual_anys'!E54</f>
        <v>1452.5</v>
      </c>
      <c r="E12" s="259">
        <f>'Evolució mensual_anys'!F54</f>
        <v>2169.1299999999997</v>
      </c>
      <c r="F12" s="259">
        <f>'Evolució mensual_anys'!G54</f>
        <v>3125.5099999999998</v>
      </c>
      <c r="G12" s="259">
        <f>'Evolució mensual_anys'!H54</f>
        <v>1689.8900000000003</v>
      </c>
      <c r="H12" s="259">
        <f>'Evolució mensual_anys'!I54</f>
        <v>2934.48</v>
      </c>
      <c r="I12" s="259">
        <f>'Evolució mensual_anys'!J54</f>
        <v>6853.63</v>
      </c>
      <c r="J12" s="259">
        <f>'Evolució mensual_anys'!K54</f>
        <v>4521.6100000000006</v>
      </c>
      <c r="K12" s="259">
        <f>'Evolució mensual_anys'!L54</f>
        <v>4619.17</v>
      </c>
      <c r="L12" s="259">
        <f>'Evolució mensual_anys'!M54</f>
        <v>3542.06</v>
      </c>
      <c r="M12" s="259">
        <f>'Evolució mensual_anys'!N54</f>
        <v>1950.36</v>
      </c>
      <c r="N12" s="259">
        <f t="shared" ref="N12:N15" si="1">SUM(B12:M12)</f>
        <v>33787.589999999997</v>
      </c>
    </row>
    <row r="13" spans="1:14" x14ac:dyDescent="0.25">
      <c r="A13" s="233">
        <v>2020</v>
      </c>
      <c r="B13" s="259">
        <f>'Evolució mensual_anys'!C77</f>
        <v>2400.5</v>
      </c>
      <c r="C13" s="259">
        <f>'Evolució mensual_anys'!D77</f>
        <v>3687</v>
      </c>
      <c r="D13" s="259">
        <f>'Evolució mensual_anys'!E77</f>
        <v>1353.7</v>
      </c>
      <c r="E13" s="259">
        <f>'Evolució mensual_anys'!F77</f>
        <v>0</v>
      </c>
      <c r="F13" s="259">
        <f>'Evolució mensual_anys'!G77</f>
        <v>0</v>
      </c>
      <c r="G13" s="259">
        <f>'Evolució mensual_anys'!H77</f>
        <v>447.5</v>
      </c>
      <c r="H13" s="259">
        <f>'Evolució mensual_anys'!I77</f>
        <v>1988.5</v>
      </c>
      <c r="I13" s="259">
        <f>'Evolució mensual_anys'!J77</f>
        <v>4515.4399999999996</v>
      </c>
      <c r="J13" s="259">
        <f>'Evolució mensual_anys'!K77</f>
        <v>3559.9100000000003</v>
      </c>
      <c r="K13" s="259">
        <f>'Evolució mensual_anys'!L77</f>
        <v>1293.5</v>
      </c>
      <c r="L13" s="259">
        <f>'Evolució mensual_anys'!M77</f>
        <v>466</v>
      </c>
      <c r="M13" s="259">
        <f>'Evolució mensual_anys'!N77</f>
        <v>457</v>
      </c>
      <c r="N13" s="259">
        <f t="shared" si="1"/>
        <v>20169.05</v>
      </c>
    </row>
    <row r="14" spans="1:14" x14ac:dyDescent="0.25">
      <c r="A14" s="233">
        <v>2019</v>
      </c>
      <c r="B14" s="259">
        <f>'Evolució mensual_anys'!C100</f>
        <v>1112.95</v>
      </c>
      <c r="C14" s="259">
        <f>'Evolució mensual_anys'!D100</f>
        <v>2227.25</v>
      </c>
      <c r="D14" s="259">
        <f>'Evolució mensual_anys'!E100</f>
        <v>4013.4</v>
      </c>
      <c r="E14" s="259">
        <f>'Evolució mensual_anys'!F100</f>
        <v>4055.9</v>
      </c>
      <c r="F14" s="259">
        <f>'Evolució mensual_anys'!G100</f>
        <v>3561.85</v>
      </c>
      <c r="G14" s="259">
        <f>'Evolució mensual_anys'!H100</f>
        <v>3389.5499999999997</v>
      </c>
      <c r="H14" s="259">
        <f>'Evolució mensual_anys'!I100</f>
        <v>2428.6999999999998</v>
      </c>
      <c r="I14" s="259">
        <f>'Evolució mensual_anys'!J100</f>
        <v>3909.9</v>
      </c>
      <c r="J14" s="259">
        <f>'Evolució mensual_anys'!K100</f>
        <v>4589.75</v>
      </c>
      <c r="K14" s="259">
        <f>'Evolució mensual_anys'!L100</f>
        <v>4136.3</v>
      </c>
      <c r="L14" s="259">
        <f>'Evolució mensual_anys'!M100</f>
        <v>4638.05</v>
      </c>
      <c r="M14" s="259">
        <f>'Evolució mensual_anys'!N100</f>
        <v>3356.9</v>
      </c>
      <c r="N14" s="259">
        <f t="shared" si="1"/>
        <v>41420.500000000007</v>
      </c>
    </row>
    <row r="15" spans="1:14" x14ac:dyDescent="0.25">
      <c r="A15" s="233">
        <v>2018</v>
      </c>
      <c r="B15" s="259">
        <f>'Evolució mensual_anys'!C123</f>
        <v>945.8</v>
      </c>
      <c r="C15" s="259">
        <f>'Evolució mensual_anys'!D123</f>
        <v>951.45</v>
      </c>
      <c r="D15" s="259">
        <f>'Evolució mensual_anys'!E123</f>
        <v>3386.2</v>
      </c>
      <c r="E15" s="259">
        <f>'Evolució mensual_anys'!F123</f>
        <v>2995.15</v>
      </c>
      <c r="F15" s="259">
        <f>'Evolució mensual_anys'!G123</f>
        <v>2171.35</v>
      </c>
      <c r="G15" s="259">
        <f>'Evolució mensual_anys'!H123</f>
        <v>1826.1</v>
      </c>
      <c r="H15" s="259">
        <f>'Evolució mensual_anys'!I123</f>
        <v>1642.15</v>
      </c>
      <c r="I15" s="259">
        <f>'Evolució mensual_anys'!J123</f>
        <v>2582.6</v>
      </c>
      <c r="J15" s="259">
        <f>'Evolució mensual_anys'!K123</f>
        <v>2369</v>
      </c>
      <c r="K15" s="259">
        <f>'Evolució mensual_anys'!L123</f>
        <v>7121.45</v>
      </c>
      <c r="L15" s="259">
        <f>'Evolució mensual_anys'!M123</f>
        <v>3665.25</v>
      </c>
      <c r="M15" s="259">
        <f>'Evolució mensual_anys'!N123</f>
        <v>1283.6500000000001</v>
      </c>
      <c r="N15" s="259">
        <f t="shared" si="1"/>
        <v>30940.15</v>
      </c>
    </row>
    <row r="16" spans="1:14" x14ac:dyDescent="0.25">
      <c r="L16" s="392" t="s">
        <v>99</v>
      </c>
      <c r="M16" s="392"/>
      <c r="N16" s="259">
        <f>SUM(N11:N15)</f>
        <v>169788.62</v>
      </c>
    </row>
    <row r="17" spans="1:14" x14ac:dyDescent="0.25">
      <c r="A17" s="393" t="s">
        <v>56</v>
      </c>
      <c r="B17" s="393"/>
      <c r="C17" s="393"/>
      <c r="D17" s="393"/>
      <c r="E17" s="393"/>
      <c r="F17" s="393"/>
      <c r="G17" s="393"/>
      <c r="H17" s="393"/>
      <c r="I17" s="393"/>
      <c r="J17" s="393"/>
      <c r="K17" s="393"/>
      <c r="L17" s="393"/>
      <c r="M17" s="393"/>
    </row>
    <row r="18" spans="1:14" x14ac:dyDescent="0.25">
      <c r="B18" s="119" t="s">
        <v>45</v>
      </c>
      <c r="C18" s="119" t="s">
        <v>46</v>
      </c>
      <c r="D18" s="119" t="s">
        <v>47</v>
      </c>
      <c r="E18" s="119" t="s">
        <v>48</v>
      </c>
      <c r="F18" s="119" t="s">
        <v>49</v>
      </c>
      <c r="G18" s="119" t="s">
        <v>50</v>
      </c>
      <c r="H18" s="119" t="s">
        <v>51</v>
      </c>
      <c r="I18" s="119" t="s">
        <v>52</v>
      </c>
      <c r="J18" s="119" t="s">
        <v>44</v>
      </c>
      <c r="K18" s="119" t="s">
        <v>43</v>
      </c>
      <c r="L18" s="119" t="s">
        <v>41</v>
      </c>
      <c r="M18" s="119" t="s">
        <v>42</v>
      </c>
      <c r="N18" s="119" t="s">
        <v>57</v>
      </c>
    </row>
    <row r="19" spans="1:14" x14ac:dyDescent="0.25">
      <c r="A19" s="233">
        <v>2022</v>
      </c>
      <c r="B19" s="330">
        <f>'Evolució mensual_anys'!C5</f>
        <v>308</v>
      </c>
      <c r="C19" s="330">
        <f>'Evolució mensual_anys'!D5</f>
        <v>363</v>
      </c>
      <c r="D19" s="330">
        <f>'Evolució mensual_anys'!E5</f>
        <v>325</v>
      </c>
      <c r="E19" s="330">
        <f>'Evolució mensual_anys'!F5</f>
        <v>682</v>
      </c>
      <c r="F19" s="330">
        <f>'Evolució mensual_anys'!G5</f>
        <v>367</v>
      </c>
      <c r="G19" s="330">
        <f>'Evolució mensual_anys'!H5</f>
        <v>315</v>
      </c>
      <c r="H19" s="330">
        <f>'Evolució mensual_anys'!I5</f>
        <v>313</v>
      </c>
      <c r="I19" s="330">
        <f>'Evolució mensual_anys'!J5</f>
        <v>599</v>
      </c>
      <c r="J19" s="330">
        <f>'Evolució mensual_anys'!K5</f>
        <v>480</v>
      </c>
      <c r="K19" s="330">
        <f>'Evolució mensual_anys'!L5</f>
        <v>1442</v>
      </c>
      <c r="L19" s="330">
        <f>'Evolució mensual_anys'!M5</f>
        <v>0</v>
      </c>
      <c r="M19" s="330">
        <f>'Evolució mensual_anys'!N5</f>
        <v>0</v>
      </c>
      <c r="N19" s="192">
        <f>SUM(B19:M19)</f>
        <v>5194</v>
      </c>
    </row>
    <row r="20" spans="1:14" x14ac:dyDescent="0.25">
      <c r="A20" s="233">
        <v>2021</v>
      </c>
      <c r="B20" s="330">
        <f>'Evolució mensual_anys'!C33</f>
        <v>41</v>
      </c>
      <c r="C20" s="330">
        <f>'Evolució mensual_anys'!D33</f>
        <v>89</v>
      </c>
      <c r="D20" s="330">
        <f>'Evolució mensual_anys'!E33</f>
        <v>278</v>
      </c>
      <c r="E20" s="330">
        <f>'Evolució mensual_anys'!F33</f>
        <v>313</v>
      </c>
      <c r="F20" s="330">
        <f>'Evolució mensual_anys'!G33</f>
        <v>561</v>
      </c>
      <c r="G20" s="330">
        <f>'Evolució mensual_anys'!H33</f>
        <v>413</v>
      </c>
      <c r="H20" s="330">
        <f>'Evolució mensual_anys'!I33</f>
        <v>413</v>
      </c>
      <c r="I20" s="330">
        <f>'Evolució mensual_anys'!J33</f>
        <v>836</v>
      </c>
      <c r="J20" s="330">
        <f>'Evolució mensual_anys'!K33</f>
        <v>703</v>
      </c>
      <c r="K20" s="330">
        <f>'Evolució mensual_anys'!L33</f>
        <v>432</v>
      </c>
      <c r="L20" s="330">
        <f>'Evolució mensual_anys'!M33</f>
        <v>239</v>
      </c>
      <c r="M20" s="330">
        <f>'Evolució mensual_anys'!N33</f>
        <v>236</v>
      </c>
      <c r="N20" s="192">
        <f t="shared" ref="N20:N23" si="2">SUM(B20:M20)</f>
        <v>4554</v>
      </c>
    </row>
    <row r="21" spans="1:14" x14ac:dyDescent="0.25">
      <c r="A21" s="233">
        <v>2020</v>
      </c>
      <c r="B21" s="330">
        <f>'Evolució mensual_anys'!C60</f>
        <v>255</v>
      </c>
      <c r="C21" s="330">
        <f>'Evolució mensual_anys'!D60</f>
        <v>790</v>
      </c>
      <c r="D21" s="330">
        <f>'Evolució mensual_anys'!E60</f>
        <v>219</v>
      </c>
      <c r="E21" s="330">
        <f>'Evolució mensual_anys'!F60</f>
        <v>0</v>
      </c>
      <c r="F21" s="330">
        <f>'Evolució mensual_anys'!G60</f>
        <v>18</v>
      </c>
      <c r="G21" s="330">
        <f>'Evolució mensual_anys'!H60</f>
        <v>108</v>
      </c>
      <c r="H21" s="330">
        <f>'Evolució mensual_anys'!I60</f>
        <v>396</v>
      </c>
      <c r="I21" s="330">
        <f>'Evolució mensual_anys'!J60</f>
        <v>548</v>
      </c>
      <c r="J21" s="330">
        <f>'Evolució mensual_anys'!K60</f>
        <v>354</v>
      </c>
      <c r="K21" s="330">
        <f>'Evolució mensual_anys'!L60</f>
        <v>400</v>
      </c>
      <c r="L21" s="330">
        <f>'Evolució mensual_anys'!M60</f>
        <v>104</v>
      </c>
      <c r="M21" s="330">
        <f>'Evolució mensual_anys'!N60</f>
        <v>237</v>
      </c>
      <c r="N21" s="192">
        <f t="shared" si="2"/>
        <v>3429</v>
      </c>
    </row>
    <row r="22" spans="1:14" x14ac:dyDescent="0.25">
      <c r="A22" s="233">
        <v>2019</v>
      </c>
      <c r="B22" s="330">
        <f>'Evolució mensual_anys'!C83</f>
        <v>403</v>
      </c>
      <c r="C22" s="330">
        <f>'Evolució mensual_anys'!D83</f>
        <v>400</v>
      </c>
      <c r="D22" s="330">
        <f>'Evolució mensual_anys'!E83</f>
        <v>519</v>
      </c>
      <c r="E22" s="330">
        <f>'Evolució mensual_anys'!F83</f>
        <v>583</v>
      </c>
      <c r="F22" s="330">
        <f>'Evolució mensual_anys'!G83</f>
        <v>637</v>
      </c>
      <c r="G22" s="330">
        <f>'Evolució mensual_anys'!H83</f>
        <v>642</v>
      </c>
      <c r="H22" s="330">
        <f>'Evolució mensual_anys'!I83</f>
        <v>410</v>
      </c>
      <c r="I22" s="330">
        <f>'Evolució mensual_anys'!J83</f>
        <v>793</v>
      </c>
      <c r="J22" s="330">
        <f>'Evolució mensual_anys'!K83</f>
        <v>779</v>
      </c>
      <c r="K22" s="330">
        <f>'Evolució mensual_anys'!L83</f>
        <v>492</v>
      </c>
      <c r="L22" s="330">
        <f>'Evolució mensual_anys'!M83</f>
        <v>491</v>
      </c>
      <c r="M22" s="330">
        <f>'Evolució mensual_anys'!N83</f>
        <v>32</v>
      </c>
      <c r="N22" s="192">
        <f t="shared" si="2"/>
        <v>6181</v>
      </c>
    </row>
    <row r="23" spans="1:14" x14ac:dyDescent="0.25">
      <c r="A23" s="233">
        <v>2018</v>
      </c>
      <c r="B23" s="330">
        <f>'Evolució mensual_anys'!C106</f>
        <v>327</v>
      </c>
      <c r="C23" s="330">
        <f>'Evolució mensual_anys'!D106</f>
        <v>146</v>
      </c>
      <c r="D23" s="330">
        <f>'Evolució mensual_anys'!E106</f>
        <v>259</v>
      </c>
      <c r="E23" s="330">
        <f>'Evolució mensual_anys'!F106</f>
        <v>325</v>
      </c>
      <c r="F23" s="330">
        <f>'Evolució mensual_anys'!G106</f>
        <v>603</v>
      </c>
      <c r="G23" s="330">
        <f>'Evolució mensual_anys'!H106</f>
        <v>182</v>
      </c>
      <c r="H23" s="330">
        <f>'Evolució mensual_anys'!I106</f>
        <v>298</v>
      </c>
      <c r="I23" s="330">
        <f>'Evolució mensual_anys'!J106</f>
        <v>361</v>
      </c>
      <c r="J23" s="330">
        <f>'Evolució mensual_anys'!K106</f>
        <v>466</v>
      </c>
      <c r="K23" s="330">
        <f>'Evolució mensual_anys'!L106</f>
        <v>553</v>
      </c>
      <c r="L23" s="330">
        <f>'Evolució mensual_anys'!M106</f>
        <v>323</v>
      </c>
      <c r="M23" s="330">
        <f>'Evolució mensual_anys'!N106</f>
        <v>264</v>
      </c>
      <c r="N23" s="192">
        <f t="shared" si="2"/>
        <v>4107</v>
      </c>
    </row>
    <row r="24" spans="1:14" x14ac:dyDescent="0.25">
      <c r="L24" s="392" t="s">
        <v>99</v>
      </c>
      <c r="M24" s="392"/>
      <c r="N24" s="192">
        <f>SUM(N19:N23)</f>
        <v>23465</v>
      </c>
    </row>
  </sheetData>
  <mergeCells count="6">
    <mergeCell ref="L24:M24"/>
    <mergeCell ref="A1:M1"/>
    <mergeCell ref="A9:M9"/>
    <mergeCell ref="A17:M17"/>
    <mergeCell ref="L8:M8"/>
    <mergeCell ref="L16:M1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6D9A-740F-46D9-B84A-1C9A167EE8B3}">
  <dimension ref="A1:J69"/>
  <sheetViews>
    <sheetView workbookViewId="0">
      <selection activeCell="G28" sqref="G28"/>
    </sheetView>
  </sheetViews>
  <sheetFormatPr defaultColWidth="9.140625" defaultRowHeight="15" x14ac:dyDescent="0.25"/>
  <cols>
    <col min="1" max="1" width="19.85546875" bestFit="1" customWidth="1"/>
    <col min="2" max="2" width="12" bestFit="1" customWidth="1"/>
    <col min="3" max="3" width="13.42578125" bestFit="1" customWidth="1"/>
    <col min="4" max="4" width="14.5703125" bestFit="1" customWidth="1"/>
    <col min="5" max="5" width="12" bestFit="1" customWidth="1"/>
    <col min="6" max="6" width="12.85546875" bestFit="1" customWidth="1"/>
    <col min="7" max="7" width="14.5703125" bestFit="1" customWidth="1"/>
    <col min="8" max="8" width="12" bestFit="1" customWidth="1"/>
    <col min="9" max="9" width="12.85546875" bestFit="1" customWidth="1"/>
    <col min="10" max="10" width="14.5703125" bestFit="1" customWidth="1"/>
    <col min="11" max="11" width="4.5703125" bestFit="1" customWidth="1"/>
  </cols>
  <sheetData>
    <row r="1" spans="1:10" ht="15.75" thickBot="1" x14ac:dyDescent="0.3"/>
    <row r="2" spans="1:10" x14ac:dyDescent="0.25">
      <c r="A2" s="266"/>
      <c r="B2" s="394">
        <v>2021</v>
      </c>
      <c r="C2" s="394"/>
      <c r="D2" s="394"/>
      <c r="E2" s="394">
        <v>2020</v>
      </c>
      <c r="F2" s="394"/>
      <c r="G2" s="394"/>
      <c r="H2" s="394">
        <v>2019</v>
      </c>
      <c r="I2" s="394"/>
      <c r="J2" s="395"/>
    </row>
    <row r="3" spans="1:10" x14ac:dyDescent="0.25">
      <c r="A3" s="267" t="s">
        <v>80</v>
      </c>
      <c r="B3" s="244" t="s">
        <v>83</v>
      </c>
      <c r="C3" s="268" t="s">
        <v>86</v>
      </c>
      <c r="D3" s="268" t="s">
        <v>89</v>
      </c>
      <c r="E3" s="244" t="s">
        <v>83</v>
      </c>
      <c r="F3" s="268" t="s">
        <v>86</v>
      </c>
      <c r="G3" s="268" t="s">
        <v>89</v>
      </c>
      <c r="H3" s="244" t="s">
        <v>83</v>
      </c>
      <c r="I3" s="268" t="s">
        <v>86</v>
      </c>
      <c r="J3" s="277" t="s">
        <v>89</v>
      </c>
    </row>
    <row r="4" spans="1:10" x14ac:dyDescent="0.25">
      <c r="A4" s="274" t="s">
        <v>35</v>
      </c>
      <c r="B4" s="108">
        <f>'Evolució mensual_anys'!H36+'Evolució mensual_anys'!I36+'Evolució mensual_anys'!J36+'Evolució mensual_anys'!K36</f>
        <v>2727</v>
      </c>
      <c r="C4" s="108">
        <f>'Evolució mensual_anys'!C36+'Evolució mensual_anys'!D36+'Evolució mensual_anys'!E36+'Evolució mensual_anys'!F36+'Evolució mensual_anys'!G36+'Evolució mensual_anys'!H36+'Evolució mensual_anys'!I36+'Evolució mensual_anys'!J36+'Evolució mensual_anys'!K36</f>
        <v>3925</v>
      </c>
      <c r="D4" s="108"/>
      <c r="E4" s="108">
        <f>'Evolució mensual_anys'!H62+'Evolució mensual_anys'!I62+'Evolució mensual_anys'!J62+'Evolució mensual_anys'!K62</f>
        <v>2025</v>
      </c>
      <c r="F4" s="108">
        <f>'Evolució mensual_anys'!C62+'Evolució mensual_anys'!D62+'Evolució mensual_anys'!E62+'Evolució mensual_anys'!F62+'Evolució mensual_anys'!G62+'Evolució mensual_anys'!H62+'Evolució mensual_anys'!I62+'Evolució mensual_anys'!J62+'Evolució mensual_anys'!K62</f>
        <v>2451</v>
      </c>
      <c r="G4" s="108">
        <f>'Evolució mensual_anys'!O62</f>
        <v>3200</v>
      </c>
      <c r="H4" s="108">
        <f>'Evolució mensual_anys'!H85+'Evolució mensual_anys'!I85+'Evolució mensual_anys'!J85+'Evolució mensual_anys'!K85</f>
        <v>2605</v>
      </c>
      <c r="I4" s="108">
        <f>'Evolució mensual_anys'!C85+'Evolució mensual_anys'!D85+'Evolució mensual_anys'!E85+'Evolució mensual_anys'!F85+'Evolució mensual_anys'!G85+'Evolució mensual_anys'!H85+'Evolució mensual_anys'!I85+'Evolució mensual_anys'!J85+'Evolució mensual_anys'!K85</f>
        <v>3372</v>
      </c>
      <c r="J4" s="278">
        <f>'Evolució mensual_anys'!O85</f>
        <v>4462</v>
      </c>
    </row>
    <row r="5" spans="1:10" x14ac:dyDescent="0.25">
      <c r="A5" s="274" t="s">
        <v>53</v>
      </c>
      <c r="B5" s="108">
        <f>'Evolució mensual_anys'!H37+'Evolució mensual_anys'!I37+'Evolució mensual_anys'!J37+'Evolució mensual_anys'!K37</f>
        <v>428</v>
      </c>
      <c r="C5" s="108">
        <f>'Evolució mensual_anys'!C37+'Evolució mensual_anys'!D37+'Evolució mensual_anys'!E37+'Evolució mensual_anys'!F37+'Evolució mensual_anys'!G37+'Evolució mensual_anys'!H37+'Evolució mensual_anys'!I37+'Evolució mensual_anys'!J37+'Evolució mensual_anys'!K37</f>
        <v>719</v>
      </c>
      <c r="D5" s="108"/>
      <c r="E5" s="108">
        <f>'Evolució mensual_anys'!H63+'Evolució mensual_anys'!I63+'Evolució mensual_anys'!J63+'Evolució mensual_anys'!K63</f>
        <v>441</v>
      </c>
      <c r="F5" s="108">
        <f>'Evolució mensual_anys'!C63+'Evolució mensual_anys'!D63+'Evolució mensual_anys'!E63+'Evolució mensual_anys'!F63+'Evolució mensual_anys'!G63+'Evolució mensual_anys'!H63+'Evolució mensual_anys'!I63+'Evolució mensual_anys'!J63+'Evolució mensual_anys'!K63</f>
        <v>596</v>
      </c>
      <c r="G5" s="108">
        <f>'Evolució mensual_anys'!O63</f>
        <v>805</v>
      </c>
      <c r="H5" s="108">
        <f>'Evolució mensual_anys'!H86+'Evolució mensual_anys'!I86+'Evolució mensual_anys'!J86+'Evolució mensual_anys'!K86</f>
        <v>517</v>
      </c>
      <c r="I5" s="108">
        <f>'Evolució mensual_anys'!C86+'Evolució mensual_anys'!D86+'Evolució mensual_anys'!E86+'Evolució mensual_anys'!F86+'Evolució mensual_anys'!G86+'Evolució mensual_anys'!H86+'Evolució mensual_anys'!I86+'Evolució mensual_anys'!J86+'Evolució mensual_anys'!K86</f>
        <v>2476</v>
      </c>
      <c r="J5" s="278">
        <f>'Evolució mensual_anys'!O86</f>
        <v>2975</v>
      </c>
    </row>
    <row r="6" spans="1:10" x14ac:dyDescent="0.25">
      <c r="A6" s="274" t="s">
        <v>36</v>
      </c>
      <c r="B6" s="108">
        <f>'Evolució mensual_anys'!H38+'Evolució mensual_anys'!I38+'Evolució mensual_anys'!J38+'Evolució mensual_anys'!K38</f>
        <v>825</v>
      </c>
      <c r="C6" s="108">
        <f>'Evolució mensual_anys'!C38+'Evolució mensual_anys'!D38+'Evolució mensual_anys'!E38+'Evolució mensual_anys'!F38+'Evolució mensual_anys'!G38+'Evolució mensual_anys'!H38+'Evolució mensual_anys'!I38+'Evolució mensual_anys'!J38+'Evolució mensual_anys'!K38</f>
        <v>1245</v>
      </c>
      <c r="D6" s="108"/>
      <c r="E6" s="108">
        <f>'Evolució mensual_anys'!H64+'Evolució mensual_anys'!I64+'Evolució mensual_anys'!J64+'Evolució mensual_anys'!K64</f>
        <v>605</v>
      </c>
      <c r="F6" s="108">
        <f>'Evolució mensual_anys'!C64+'Evolució mensual_anys'!D64+'Evolució mensual_anys'!E64+'Evolució mensual_anys'!F64+'Evolució mensual_anys'!G64+'Evolució mensual_anys'!H64+'Evolució mensual_anys'!I64+'Evolució mensual_anys'!J64+'Evolució mensual_anys'!K64</f>
        <v>726</v>
      </c>
      <c r="G6" s="108">
        <f>'Evolució mensual_anys'!O64</f>
        <v>866</v>
      </c>
      <c r="H6" s="108">
        <f>'Evolució mensual_anys'!H87+'Evolució mensual_anys'!I87+'Evolució mensual_anys'!J87+'Evolució mensual_anys'!K87</f>
        <v>558</v>
      </c>
      <c r="I6" s="108">
        <f>'Evolució mensual_anys'!C87+'Evolució mensual_anys'!D87+'Evolució mensual_anys'!E87+'Evolució mensual_anys'!F87+'Evolució mensual_anys'!G87+'Evolució mensual_anys'!H87+'Evolució mensual_anys'!I87+'Evolució mensual_anys'!J87+'Evolució mensual_anys'!K87</f>
        <v>872</v>
      </c>
      <c r="J6" s="278">
        <f>'Evolució mensual_anys'!O87</f>
        <v>1062</v>
      </c>
    </row>
    <row r="7" spans="1:10" x14ac:dyDescent="0.25">
      <c r="A7" s="274" t="s">
        <v>37</v>
      </c>
      <c r="B7" s="108">
        <f>'Evolució mensual_anys'!H39+'Evolució mensual_anys'!I39+'Evolució mensual_anys'!J39+'Evolució mensual_anys'!K39</f>
        <v>66</v>
      </c>
      <c r="C7" s="108">
        <f>'Evolució mensual_anys'!C39+'Evolució mensual_anys'!D39+'Evolució mensual_anys'!E39+'Evolució mensual_anys'!F39+'Evolució mensual_anys'!G39+'Evolució mensual_anys'!H39+'Evolució mensual_anys'!I39+'Evolució mensual_anys'!J39+'Evolució mensual_anys'!K39</f>
        <v>89</v>
      </c>
      <c r="D7" s="108"/>
      <c r="E7" s="108">
        <f>'Evolució mensual_anys'!H65+'Evolució mensual_anys'!I65+'Evolució mensual_anys'!J65+'Evolució mensual_anys'!K65</f>
        <v>79</v>
      </c>
      <c r="F7" s="108">
        <f>'Evolució mensual_anys'!C65+'Evolució mensual_anys'!D65+'Evolució mensual_anys'!E65+'Evolució mensual_anys'!F65+'Evolució mensual_anys'!G65+'Evolució mensual_anys'!H65+'Evolució mensual_anys'!I65+'Evolució mensual_anys'!J65+'Evolució mensual_anys'!K65</f>
        <v>126</v>
      </c>
      <c r="G7" s="108">
        <f>'Evolució mensual_anys'!O65</f>
        <v>136</v>
      </c>
      <c r="H7" s="108">
        <f>'Evolució mensual_anys'!H88+'Evolució mensual_anys'!I88+'Evolució mensual_anys'!J88+'Evolució mensual_anys'!K88</f>
        <v>100</v>
      </c>
      <c r="I7" s="108">
        <f>'Evolució mensual_anys'!C88+'Evolució mensual_anys'!D88+'Evolució mensual_anys'!E88+'Evolució mensual_anys'!F88+'Evolució mensual_anys'!G88+'Evolució mensual_anys'!H88+'Evolució mensual_anys'!I88+'Evolució mensual_anys'!J88+'Evolució mensual_anys'!K88</f>
        <v>214</v>
      </c>
      <c r="J7" s="278">
        <f>'Evolució mensual_anys'!O88</f>
        <v>256</v>
      </c>
    </row>
    <row r="8" spans="1:10" x14ac:dyDescent="0.25">
      <c r="A8" s="274" t="s">
        <v>54</v>
      </c>
      <c r="B8" s="108">
        <f>'Evolució mensual_anys'!H40+'Evolució mensual_anys'!I40+'Evolució mensual_anys'!J40+'Evolució mensual_anys'!K40</f>
        <v>365</v>
      </c>
      <c r="C8" s="108">
        <f>'Evolució mensual_anys'!C40+'Evolució mensual_anys'!D40+'Evolució mensual_anys'!E40+'Evolució mensual_anys'!F40+'Evolució mensual_anys'!G40+'Evolució mensual_anys'!H40+'Evolució mensual_anys'!I40+'Evolució mensual_anys'!J40+'Evolució mensual_anys'!K40</f>
        <v>609</v>
      </c>
      <c r="D8" s="108"/>
      <c r="E8" s="108">
        <f>'Evolució mensual_anys'!H66+'Evolució mensual_anys'!I66+'Evolució mensual_anys'!J66+'Evolució mensual_anys'!K66</f>
        <v>61</v>
      </c>
      <c r="F8" s="108">
        <f>'Evolució mensual_anys'!C66+'Evolució mensual_anys'!D66+'Evolució mensual_anys'!E66+'Evolució mensual_anys'!F66+'Evolució mensual_anys'!G66+'Evolució mensual_anys'!H66+'Evolució mensual_anys'!I66+'Evolució mensual_anys'!J66+'Evolució mensual_anys'!K66</f>
        <v>1601</v>
      </c>
      <c r="G8" s="108">
        <f>'Evolució mensual_anys'!O66</f>
        <v>1675</v>
      </c>
      <c r="H8" s="108">
        <f>'Evolució mensual_anys'!H89+'Evolució mensual_anys'!I89+'Evolució mensual_anys'!J89+'Evolució mensual_anys'!K89</f>
        <v>1062</v>
      </c>
      <c r="I8" s="108">
        <f>'Evolució mensual_anys'!C89+'Evolució mensual_anys'!D89+'Evolució mensual_anys'!E89+'Evolució mensual_anys'!F89+'Evolució mensual_anys'!G89+'Evolució mensual_anys'!H89+'Evolució mensual_anys'!I89+'Evolució mensual_anys'!J89+'Evolució mensual_anys'!K89</f>
        <v>3803</v>
      </c>
      <c r="J8" s="278">
        <f>'Evolució mensual_anys'!O89</f>
        <v>6299</v>
      </c>
    </row>
    <row r="9" spans="1:10" x14ac:dyDescent="0.25">
      <c r="A9" s="274" t="s">
        <v>71</v>
      </c>
      <c r="B9" s="108">
        <f>'Evolució mensual_anys'!H41+'Evolució mensual_anys'!I41+'Evolució mensual_anys'!J41+'Evolució mensual_anys'!K41</f>
        <v>84</v>
      </c>
      <c r="C9" s="108">
        <f>'Evolució mensual_anys'!C41+'Evolució mensual_anys'!D41+'Evolució mensual_anys'!E41+'Evolució mensual_anys'!F41+'Evolució mensual_anys'!G41+'Evolució mensual_anys'!H41+'Evolució mensual_anys'!I41+'Evolució mensual_anys'!J41+'Evolució mensual_anys'!K41</f>
        <v>106</v>
      </c>
      <c r="D9" s="108"/>
      <c r="E9" s="108"/>
      <c r="F9" s="137"/>
      <c r="G9" s="108"/>
      <c r="H9" s="108"/>
      <c r="I9" s="137"/>
      <c r="J9" s="278"/>
    </row>
    <row r="10" spans="1:10" x14ac:dyDescent="0.25">
      <c r="A10" s="274" t="s">
        <v>40</v>
      </c>
      <c r="B10" s="108">
        <f>'Evolució mensual_anys'!H42+'Evolució mensual_anys'!I42+'Evolució mensual_anys'!J42+'Evolució mensual_anys'!K42</f>
        <v>0</v>
      </c>
      <c r="C10" s="108">
        <f>'Evolució mensual_anys'!C42+'Evolució mensual_anys'!D42+'Evolució mensual_anys'!E42+'Evolució mensual_anys'!F42+'Evolució mensual_anys'!G42+'Evolució mensual_anys'!H42+'Evolució mensual_anys'!I42+'Evolució mensual_anys'!J42+'Evolució mensual_anys'!K42</f>
        <v>56</v>
      </c>
      <c r="D10" s="108"/>
      <c r="E10" s="108">
        <f>'Evolució mensual_anys'!H67+'Evolució mensual_anys'!I67+'Evolució mensual_anys'!J67+'Evolució mensual_anys'!K67</f>
        <v>625</v>
      </c>
      <c r="F10" s="108">
        <f>'Evolució mensual_anys'!C67+'Evolució mensual_anys'!D67+'Evolució mensual_anys'!E67+'Evolució mensual_anys'!F67+'Evolució mensual_anys'!G67+'Evolució mensual_anys'!H67+'Evolució mensual_anys'!I67+'Evolució mensual_anys'!J67+'Evolució mensual_anys'!K67</f>
        <v>1150</v>
      </c>
      <c r="G10" s="108">
        <f>'Evolució mensual_anys'!O67</f>
        <v>1442</v>
      </c>
      <c r="H10" s="108">
        <f>'Evolució mensual_anys'!H90+'Evolució mensual_anys'!I90+'Evolució mensual_anys'!J90+'Evolució mensual_anys'!K90</f>
        <v>0</v>
      </c>
      <c r="I10" s="108">
        <f>'Evolució mensual_anys'!C90+'Evolució mensual_anys'!D90+'Evolució mensual_anys'!E90+'Evolució mensual_anys'!F90+'Evolució mensual_anys'!G90+'Evolució mensual_anys'!H90+'Evolució mensual_anys'!I90+'Evolució mensual_anys'!J90+'Evolució mensual_anys'!K90</f>
        <v>0</v>
      </c>
      <c r="J10" s="278">
        <f>'Evolució mensual_anys'!O90</f>
        <v>883</v>
      </c>
    </row>
    <row r="11" spans="1:10" x14ac:dyDescent="0.25">
      <c r="A11" s="149"/>
      <c r="B11" s="269">
        <f>SUM(B4:B10)</f>
        <v>4495</v>
      </c>
      <c r="C11" s="269">
        <f>SUM(C4:C10)</f>
        <v>6749</v>
      </c>
      <c r="D11" s="269"/>
      <c r="E11" s="269">
        <f t="shared" ref="E11:J11" si="0">SUM(E4:E10)</f>
        <v>3836</v>
      </c>
      <c r="F11" s="269">
        <f t="shared" si="0"/>
        <v>6650</v>
      </c>
      <c r="G11" s="269">
        <f t="shared" si="0"/>
        <v>8124</v>
      </c>
      <c r="H11" s="270">
        <f t="shared" si="0"/>
        <v>4842</v>
      </c>
      <c r="I11" s="270">
        <f t="shared" si="0"/>
        <v>10737</v>
      </c>
      <c r="J11" s="279">
        <f t="shared" si="0"/>
        <v>15937</v>
      </c>
    </row>
    <row r="12" spans="1:10" x14ac:dyDescent="0.25">
      <c r="A12" s="149"/>
      <c r="B12" s="137"/>
      <c r="C12" s="137"/>
      <c r="D12" s="137"/>
      <c r="E12" s="137"/>
      <c r="F12" s="137"/>
      <c r="G12" s="137"/>
      <c r="H12" s="137"/>
      <c r="I12" s="137"/>
      <c r="J12" s="147"/>
    </row>
    <row r="13" spans="1:10" x14ac:dyDescent="0.25">
      <c r="A13" s="271" t="s">
        <v>79</v>
      </c>
      <c r="B13" s="244" t="s">
        <v>83</v>
      </c>
      <c r="C13" s="268" t="s">
        <v>87</v>
      </c>
      <c r="D13" s="268" t="s">
        <v>88</v>
      </c>
      <c r="E13" s="244" t="s">
        <v>83</v>
      </c>
      <c r="F13" s="268" t="s">
        <v>86</v>
      </c>
      <c r="G13" s="268" t="s">
        <v>89</v>
      </c>
      <c r="H13" s="244" t="s">
        <v>83</v>
      </c>
      <c r="I13" s="268" t="s">
        <v>86</v>
      </c>
      <c r="J13" s="277" t="s">
        <v>89</v>
      </c>
    </row>
    <row r="14" spans="1:10" x14ac:dyDescent="0.25">
      <c r="A14" s="274" t="s">
        <v>35</v>
      </c>
      <c r="B14" s="32">
        <f>'Evolució mensual_anys'!H46+'Evolució mensual_anys'!I46+'Evolució mensual_anys'!J46+'Evolució mensual_anys'!K46</f>
        <v>8095.42</v>
      </c>
      <c r="C14" s="32">
        <f>'Evolució mensual_anys'!O46</f>
        <v>14381.97</v>
      </c>
      <c r="D14" s="137"/>
      <c r="E14" s="111">
        <f>'Evolució mensual_anys'!H70+'Evolució mensual_anys'!I70+'Evolució mensual_anys'!J70+'Evolució mensual_anys'!K70</f>
        <v>5666</v>
      </c>
      <c r="F14" s="111">
        <f>'Evolució mensual_anys'!C70+'Evolució mensual_anys'!D70+'Evolució mensual_anys'!E70+'Evolució mensual_anys'!F70+'Evolució mensual_anys'!G70+'Evolució mensual_anys'!H70+'Evolució mensual_anys'!I70+'Evolució mensual_anys'!J70+'Evolució mensual_anys'!K70</f>
        <v>6879</v>
      </c>
      <c r="G14" s="111">
        <f>'Evolució mensual_anys'!O70</f>
        <v>7793</v>
      </c>
      <c r="H14" s="111">
        <f>'Evolució mensual_anys'!H93+'Evolució mensual_anys'!I93+'Evolució mensual_anys'!J93+'Evolució mensual_anys'!K93</f>
        <v>6075</v>
      </c>
      <c r="I14" s="84">
        <f>'Evolució mensual_anys'!C93+'Evolució mensual_anys'!D93+'Evolució mensual_anys'!E93+'Evolució mensual_anys'!F93+'Evolució mensual_anys'!G93+'Evolució mensual_anys'!H93+'Evolució mensual_anys'!I93+'Evolució mensual_anys'!J93+'Evolució mensual_anys'!K93</f>
        <v>7721</v>
      </c>
      <c r="J14" s="280">
        <f>'Evolució mensual_anys'!O93</f>
        <v>9708</v>
      </c>
    </row>
    <row r="15" spans="1:10" x14ac:dyDescent="0.25">
      <c r="A15" s="274" t="s">
        <v>53</v>
      </c>
      <c r="B15" s="32">
        <f>'Evolució mensual_anys'!H47+'Evolució mensual_anys'!I47+'Evolució mensual_anys'!J47+'Evolució mensual_anys'!K47</f>
        <v>2249.92</v>
      </c>
      <c r="C15" s="32">
        <f>'Evolució mensual_anys'!O47</f>
        <v>5549.1799999999994</v>
      </c>
      <c r="D15" s="137"/>
      <c r="E15" s="111">
        <f>'Evolució mensual_anys'!H71+'Evolució mensual_anys'!I71+'Evolució mensual_anys'!J71+'Evolució mensual_anys'!K71</f>
        <v>2140</v>
      </c>
      <c r="F15" s="111">
        <f>'Evolució mensual_anys'!C71+'Evolució mensual_anys'!D71+'Evolució mensual_anys'!E71+'Evolució mensual_anys'!F71+'Evolució mensual_anys'!G71+'Evolució mensual_anys'!H71+'Evolució mensual_anys'!I71+'Evolució mensual_anys'!J71+'Evolució mensual_anys'!K71</f>
        <v>2774</v>
      </c>
      <c r="G15" s="111">
        <f>'Evolució mensual_anys'!O71</f>
        <v>3166</v>
      </c>
      <c r="H15" s="111">
        <f>'Evolució mensual_anys'!H94+'Evolució mensual_anys'!I94+'Evolució mensual_anys'!J94+'Evolució mensual_anys'!K94</f>
        <v>1867</v>
      </c>
      <c r="I15" s="84">
        <f>'Evolució mensual_anys'!C94+'Evolució mensual_anys'!D94+'Evolució mensual_anys'!E94+'Evolució mensual_anys'!F94+'Evolució mensual_anys'!G94+'Evolució mensual_anys'!H94+'Evolució mensual_anys'!I94+'Evolució mensual_anys'!J94+'Evolució mensual_anys'!K94</f>
        <v>4936</v>
      </c>
      <c r="J15" s="280">
        <f>'Evolució mensual_anys'!O94</f>
        <v>6709</v>
      </c>
    </row>
    <row r="16" spans="1:10" x14ac:dyDescent="0.25">
      <c r="A16" s="274" t="s">
        <v>36</v>
      </c>
      <c r="B16" s="32">
        <f>'Evolució mensual_anys'!H48+'Evolució mensual_anys'!I48+'Evolució mensual_anys'!J48+'Evolució mensual_anys'!K48</f>
        <v>2205.63</v>
      </c>
      <c r="C16" s="32">
        <f>'Evolució mensual_anys'!O48</f>
        <v>3990.2100000000005</v>
      </c>
      <c r="D16" s="137"/>
      <c r="E16" s="111">
        <f>'Evolució mensual_anys'!H72+'Evolució mensual_anys'!I72+'Evolució mensual_anys'!J72+'Evolució mensual_anys'!K72</f>
        <v>1669.5</v>
      </c>
      <c r="F16" s="111">
        <f>'Evolució mensual_anys'!C72+'Evolució mensual_anys'!D72+'Evolució mensual_anys'!E72+'Evolució mensual_anys'!F72+'Evolució mensual_anys'!G72+'Evolució mensual_anys'!H72+'Evolució mensual_anys'!I72+'Evolució mensual_anys'!J72+'Evolució mensual_anys'!K72</f>
        <v>1965.5</v>
      </c>
      <c r="G16" s="111">
        <f>'Evolució mensual_anys'!O72</f>
        <v>2292.5</v>
      </c>
      <c r="H16" s="111">
        <f>'Evolució mensual_anys'!H95+'Evolució mensual_anys'!I95+'Evolució mensual_anys'!J95+'Evolució mensual_anys'!K95</f>
        <v>1493</v>
      </c>
      <c r="I16" s="84">
        <f>'Evolució mensual_anys'!C95+'Evolució mensual_anys'!D95+'Evolució mensual_anys'!E95+'Evolució mensual_anys'!F95+'Evolució mensual_anys'!G95+'Evolució mensual_anys'!H95+'Evolució mensual_anys'!I95+'Evolució mensual_anys'!J95+'Evolució mensual_anys'!K95</f>
        <v>2304</v>
      </c>
      <c r="J16" s="280">
        <f>'Evolució mensual_anys'!O95</f>
        <v>2798</v>
      </c>
    </row>
    <row r="17" spans="1:10" x14ac:dyDescent="0.25">
      <c r="A17" s="274" t="s">
        <v>37</v>
      </c>
      <c r="B17" s="32">
        <f>'Evolució mensual_anys'!H49+'Evolució mensual_anys'!I49+'Evolució mensual_anys'!J49+'Evolució mensual_anys'!K49</f>
        <v>109.5</v>
      </c>
      <c r="C17" s="32">
        <f>'Evolució mensual_anys'!O49</f>
        <v>245.5</v>
      </c>
      <c r="D17" s="137"/>
      <c r="E17" s="111">
        <f>'Evolució mensual_anys'!H73+'Evolució mensual_anys'!I73+'Evolució mensual_anys'!J73+'Evolució mensual_anys'!K73</f>
        <v>138.5</v>
      </c>
      <c r="F17" s="111">
        <f>'Evolució mensual_anys'!C73+'Evolució mensual_anys'!D73+'Evolució mensual_anys'!E73+'Evolució mensual_anys'!F73+'Evolució mensual_anys'!G73+'Evolució mensual_anys'!H73+'Evolució mensual_anys'!I73+'Evolució mensual_anys'!J73+'Evolució mensual_anys'!K73</f>
        <v>216.5</v>
      </c>
      <c r="G17" s="111">
        <f>'Evolució mensual_anys'!O73</f>
        <v>235.5</v>
      </c>
      <c r="H17" s="111">
        <f>'Evolució mensual_anys'!H96+'Evolució mensual_anys'!I96+'Evolució mensual_anys'!J96+'Evolució mensual_anys'!K96</f>
        <v>157</v>
      </c>
      <c r="I17" s="84">
        <f>'Evolució mensual_anys'!C96+'Evolució mensual_anys'!D96+'Evolució mensual_anys'!E96+'Evolució mensual_anys'!F96+'Evolució mensual_anys'!G96+'Evolució mensual_anys'!H96+'Evolució mensual_anys'!I96+'Evolució mensual_anys'!J96+'Evolució mensual_anys'!K96</f>
        <v>349.5</v>
      </c>
      <c r="J17" s="280">
        <f>'Evolució mensual_anys'!O96</f>
        <v>423.5</v>
      </c>
    </row>
    <row r="18" spans="1:10" x14ac:dyDescent="0.25">
      <c r="A18" s="274" t="s">
        <v>54</v>
      </c>
      <c r="B18" s="32">
        <f>'Evolució mensual_anys'!H50+'Evolució mensual_anys'!I50+'Evolució mensual_anys'!J50+'Evolució mensual_anys'!K50</f>
        <v>1765</v>
      </c>
      <c r="C18" s="32">
        <f>'Evolució mensual_anys'!O50</f>
        <v>7145.5499999999993</v>
      </c>
      <c r="D18" s="137"/>
      <c r="E18" s="111">
        <f>'Evolució mensual_anys'!H74+'Evolució mensual_anys'!I74+'Evolució mensual_anys'!J74+'Evolució mensual_anys'!K74</f>
        <v>506</v>
      </c>
      <c r="F18" s="111">
        <f>'Evolució mensual_anys'!C74+'Evolució mensual_anys'!D74+'Evolució mensual_anys'!E74+'Evolució mensual_anys'!F74+'Evolució mensual_anys'!G74+'Evolució mensual_anys'!H74+'Evolució mensual_anys'!I74+'Evolució mensual_anys'!J74+'Evolució mensual_anys'!K74</f>
        <v>5365.5</v>
      </c>
      <c r="G18" s="111">
        <f>'Evolució mensual_anys'!O74</f>
        <v>5763.5</v>
      </c>
      <c r="H18" s="111">
        <f>'Evolució mensual_anys'!H97+'Evolució mensual_anys'!I97+'Evolució mensual_anys'!J97+'Evolució mensual_anys'!K97</f>
        <v>3177</v>
      </c>
      <c r="I18" s="84">
        <f>'Evolució mensual_anys'!C97+'Evolució mensual_anys'!D97+'Evolució mensual_anys'!E97+'Evolució mensual_anys'!F97+'Evolució mensual_anys'!G97+'Evolució mensual_anys'!H97+'Evolució mensual_anys'!I97+'Evolució mensual_anys'!J97+'Evolució mensual_anys'!K97</f>
        <v>11226.05</v>
      </c>
      <c r="J18" s="280">
        <f>'Evolució mensual_anys'!O97</f>
        <v>18157.55</v>
      </c>
    </row>
    <row r="19" spans="1:10" x14ac:dyDescent="0.25">
      <c r="A19" s="274" t="s">
        <v>71</v>
      </c>
      <c r="B19" s="32">
        <f>'Evolució mensual_anys'!H51+'Evolució mensual_anys'!I51+'Evolució mensual_anys'!J51+'Evolució mensual_anys'!K51</f>
        <v>397.28</v>
      </c>
      <c r="C19" s="32">
        <f>'Evolució mensual_anys'!O51</f>
        <v>687</v>
      </c>
      <c r="D19" s="137"/>
      <c r="E19" s="111"/>
      <c r="F19" s="137"/>
      <c r="G19" s="137"/>
      <c r="H19" s="111"/>
      <c r="I19" s="137"/>
      <c r="J19" s="147"/>
    </row>
    <row r="20" spans="1:10" x14ac:dyDescent="0.25">
      <c r="A20" s="274" t="s">
        <v>61</v>
      </c>
      <c r="B20" s="32">
        <f>'Evolució mensual_anys'!H52+'Evolució mensual_anys'!I52+'Evolució mensual_anys'!J52+'Evolució mensual_anys'!K52</f>
        <v>390.8</v>
      </c>
      <c r="C20" s="32">
        <f>'Evolució mensual_anys'!O52</f>
        <v>556.6</v>
      </c>
      <c r="D20" s="137"/>
      <c r="E20" s="111">
        <f>'Evolució mensual_anys'!H75+'Evolució mensual_anys'!I75+'Evolució mensual_anys'!J75+'Evolució mensual_anys'!K75</f>
        <v>207.6</v>
      </c>
      <c r="F20" s="111">
        <f>'Evolució mensual_anys'!C75+'Evolució mensual_anys'!D75+'Evolució mensual_anys'!E75+'Evolució mensual_anys'!F75+'Evolució mensual_anys'!G75+'Evolució mensual_anys'!H75+'Evolució mensual_anys'!I75+'Evolució mensual_anys'!J75+'Evolució mensual_anys'!K75</f>
        <v>249.6</v>
      </c>
      <c r="G20" s="111">
        <f>'Evolució mensual_anys'!O75</f>
        <v>271.60000000000002</v>
      </c>
      <c r="H20" s="111">
        <f>'Evolució mensual_anys'!H98+'Evolució mensual_anys'!I98+'Evolució mensual_anys'!J98+'Evolució mensual_anys'!K98</f>
        <v>508.8</v>
      </c>
      <c r="I20" s="84">
        <f>'Evolució mensual_anys'!C98+'Evolució mensual_anys'!D98+'Evolució mensual_anys'!E98+'Evolució mensual_anys'!F98+'Evolució mensual_anys'!G98+'Evolució mensual_anys'!H98+'Evolució mensual_anys'!I98+'Evolució mensual_anys'!J98+'Evolució mensual_anys'!K98</f>
        <v>648.4</v>
      </c>
      <c r="J20" s="280">
        <f>'Evolució mensual_anys'!O98</f>
        <v>801.7</v>
      </c>
    </row>
    <row r="21" spans="1:10" x14ac:dyDescent="0.25">
      <c r="A21" s="274" t="s">
        <v>58</v>
      </c>
      <c r="B21" s="32">
        <f>'Evolució mensual_anys'!H53+'Evolució mensual_anys'!I53+'Evolució mensual_anys'!J53+'Evolució mensual_anys'!K53</f>
        <v>786.06000000000006</v>
      </c>
      <c r="C21" s="32">
        <f>'Evolució mensual_anys'!O53</f>
        <v>1231.58</v>
      </c>
      <c r="D21" s="137"/>
      <c r="E21" s="111">
        <f>'Evolució mensual_anys'!H76+'Evolució mensual_anys'!I76+'Evolució mensual_anys'!J76+'Evolució mensual_anys'!K76</f>
        <v>183.75</v>
      </c>
      <c r="F21" s="111">
        <f>'Evolució mensual_anys'!C76+'Evolució mensual_anys'!D76+'Evolució mensual_anys'!E76+'Evolució mensual_anys'!F76+'Evolució mensual_anys'!G76+'Evolució mensual_anys'!H76+'Evolució mensual_anys'!I76+'Evolució mensual_anys'!J76+'Evolució mensual_anys'!K76</f>
        <v>502.45</v>
      </c>
      <c r="G21" s="111">
        <f>'Evolució mensual_anys'!O76</f>
        <v>646.95000000000005</v>
      </c>
      <c r="H21" s="111">
        <f>'Evolució mensual_anys'!H99+'Evolució mensual_anys'!I99+'Evolució mensual_anys'!J99+'Evolució mensual_anys'!K99</f>
        <v>1040.0999999999999</v>
      </c>
      <c r="I21" s="84">
        <f>'Evolució mensual_anys'!C99+'Evolució mensual_anys'!D99+'Evolució mensual_anys'!E99+'Evolució mensual_anys'!F99+'Evolució mensual_anys'!G99+'Evolució mensual_anys'!H99+'Evolució mensual_anys'!I99+'Evolució mensual_anys'!J99+'Evolució mensual_anys'!K99</f>
        <v>2104.2999999999997</v>
      </c>
      <c r="J21" s="280">
        <f>'Evolució mensual_anys'!O99</f>
        <v>2822.7499999999995</v>
      </c>
    </row>
    <row r="22" spans="1:10" s="233" customFormat="1" ht="15.75" thickBot="1" x14ac:dyDescent="0.3">
      <c r="A22" s="272"/>
      <c r="B22" s="273">
        <f>SUM(B14:B21)</f>
        <v>15999.61</v>
      </c>
      <c r="C22" s="273">
        <f>SUM(C14:C21)</f>
        <v>33787.589999999997</v>
      </c>
      <c r="D22" s="281"/>
      <c r="E22" s="273">
        <f t="shared" ref="E22:J22" si="1">SUM(E14:E21)</f>
        <v>10511.35</v>
      </c>
      <c r="F22" s="273">
        <f t="shared" si="1"/>
        <v>17952.55</v>
      </c>
      <c r="G22" s="273">
        <f t="shared" si="1"/>
        <v>20169.05</v>
      </c>
      <c r="H22" s="273">
        <f t="shared" si="1"/>
        <v>14317.9</v>
      </c>
      <c r="I22" s="273">
        <f t="shared" si="1"/>
        <v>29289.25</v>
      </c>
      <c r="J22" s="282">
        <f t="shared" si="1"/>
        <v>41420.5</v>
      </c>
    </row>
    <row r="25" spans="1:10" x14ac:dyDescent="0.25">
      <c r="A25" s="233" t="s">
        <v>84</v>
      </c>
      <c r="B25" s="260">
        <v>2019</v>
      </c>
      <c r="C25" s="260">
        <v>2020</v>
      </c>
      <c r="D25" s="260" t="s">
        <v>90</v>
      </c>
      <c r="E25" s="260">
        <v>2021</v>
      </c>
      <c r="F25" s="260" t="s">
        <v>91</v>
      </c>
    </row>
    <row r="26" spans="1:10" x14ac:dyDescent="0.25">
      <c r="A26" s="267" t="s">
        <v>80</v>
      </c>
    </row>
    <row r="27" spans="1:10" x14ac:dyDescent="0.25">
      <c r="A27" s="274" t="s">
        <v>35</v>
      </c>
      <c r="B27" s="192">
        <f t="shared" ref="B27:B35" si="2">H4</f>
        <v>2605</v>
      </c>
      <c r="C27" s="192">
        <f>E4</f>
        <v>2025</v>
      </c>
      <c r="D27" s="276">
        <f t="shared" ref="D27:D31" si="3">(C27-B27)/B27</f>
        <v>-0.22264875239923224</v>
      </c>
      <c r="E27" s="192">
        <f t="shared" ref="E27:E35" si="4">B4</f>
        <v>2727</v>
      </c>
      <c r="F27" s="276">
        <f t="shared" ref="F27:F33" si="5">(E27-C27)/C27</f>
        <v>0.34666666666666668</v>
      </c>
    </row>
    <row r="28" spans="1:10" x14ac:dyDescent="0.25">
      <c r="A28" s="274" t="s">
        <v>53</v>
      </c>
      <c r="B28" s="192">
        <f t="shared" si="2"/>
        <v>517</v>
      </c>
      <c r="C28" s="192">
        <f t="shared" ref="C28:C44" si="6">E5</f>
        <v>441</v>
      </c>
      <c r="D28" s="276">
        <f t="shared" si="3"/>
        <v>-0.14700193423597679</v>
      </c>
      <c r="E28" s="192">
        <f t="shared" si="4"/>
        <v>428</v>
      </c>
      <c r="F28" s="276">
        <f t="shared" si="5"/>
        <v>-2.9478458049886622E-2</v>
      </c>
    </row>
    <row r="29" spans="1:10" x14ac:dyDescent="0.25">
      <c r="A29" s="274" t="s">
        <v>36</v>
      </c>
      <c r="B29" s="192">
        <f t="shared" si="2"/>
        <v>558</v>
      </c>
      <c r="C29" s="192">
        <f t="shared" si="6"/>
        <v>605</v>
      </c>
      <c r="D29" s="276">
        <f t="shared" si="3"/>
        <v>8.4229390681003588E-2</v>
      </c>
      <c r="E29" s="192">
        <f t="shared" si="4"/>
        <v>825</v>
      </c>
      <c r="F29" s="276">
        <f t="shared" si="5"/>
        <v>0.36363636363636365</v>
      </c>
    </row>
    <row r="30" spans="1:10" x14ac:dyDescent="0.25">
      <c r="A30" s="274" t="s">
        <v>37</v>
      </c>
      <c r="B30" s="192">
        <f t="shared" si="2"/>
        <v>100</v>
      </c>
      <c r="C30" s="192">
        <f t="shared" si="6"/>
        <v>79</v>
      </c>
      <c r="D30" s="276">
        <f t="shared" si="3"/>
        <v>-0.21</v>
      </c>
      <c r="E30" s="192">
        <f t="shared" si="4"/>
        <v>66</v>
      </c>
      <c r="F30" s="276">
        <f t="shared" si="5"/>
        <v>-0.16455696202531644</v>
      </c>
    </row>
    <row r="31" spans="1:10" x14ac:dyDescent="0.25">
      <c r="A31" s="274" t="s">
        <v>54</v>
      </c>
      <c r="B31" s="192">
        <f t="shared" si="2"/>
        <v>1062</v>
      </c>
      <c r="C31" s="192">
        <f t="shared" si="6"/>
        <v>61</v>
      </c>
      <c r="D31" s="276">
        <f t="shared" si="3"/>
        <v>-0.94256120527306964</v>
      </c>
      <c r="E31" s="192">
        <f t="shared" si="4"/>
        <v>365</v>
      </c>
      <c r="F31" s="276">
        <f t="shared" si="5"/>
        <v>4.9836065573770494</v>
      </c>
    </row>
    <row r="32" spans="1:10" x14ac:dyDescent="0.25">
      <c r="A32" s="274" t="s">
        <v>71</v>
      </c>
      <c r="B32" s="192">
        <f t="shared" si="2"/>
        <v>0</v>
      </c>
      <c r="C32" s="192">
        <f t="shared" si="6"/>
        <v>0</v>
      </c>
      <c r="D32" s="276"/>
      <c r="E32" s="192">
        <f t="shared" si="4"/>
        <v>84</v>
      </c>
      <c r="F32" s="276"/>
    </row>
    <row r="33" spans="1:7" x14ac:dyDescent="0.25">
      <c r="A33" s="274" t="s">
        <v>40</v>
      </c>
      <c r="B33" s="192">
        <f t="shared" si="2"/>
        <v>0</v>
      </c>
      <c r="C33" s="192">
        <f t="shared" si="6"/>
        <v>625</v>
      </c>
      <c r="D33" s="276"/>
      <c r="E33" s="192">
        <f t="shared" si="4"/>
        <v>0</v>
      </c>
      <c r="F33" s="276">
        <f t="shared" si="5"/>
        <v>-1</v>
      </c>
      <c r="G33" s="260"/>
    </row>
    <row r="34" spans="1:7" s="233" customFormat="1" x14ac:dyDescent="0.25">
      <c r="A34" s="267"/>
      <c r="B34" s="261">
        <f t="shared" si="2"/>
        <v>4842</v>
      </c>
      <c r="C34" s="261">
        <f t="shared" si="6"/>
        <v>3836</v>
      </c>
      <c r="D34" s="276">
        <f>(C34-B34)/B34</f>
        <v>-0.20776538620404791</v>
      </c>
      <c r="E34" s="261">
        <f t="shared" si="4"/>
        <v>4495</v>
      </c>
      <c r="F34" s="276">
        <f>(E34-C34)/C34</f>
        <v>0.17179353493222108</v>
      </c>
    </row>
    <row r="35" spans="1:7" x14ac:dyDescent="0.25">
      <c r="A35" s="149"/>
      <c r="B35" s="192">
        <f t="shared" si="2"/>
        <v>0</v>
      </c>
      <c r="C35" s="192">
        <f t="shared" si="6"/>
        <v>0</v>
      </c>
      <c r="D35" s="276"/>
      <c r="E35" s="192">
        <f t="shared" si="4"/>
        <v>0</v>
      </c>
      <c r="F35" s="276"/>
      <c r="G35" s="90"/>
    </row>
    <row r="36" spans="1:7" x14ac:dyDescent="0.25">
      <c r="A36" s="271" t="s">
        <v>79</v>
      </c>
      <c r="B36" s="260">
        <v>2019</v>
      </c>
      <c r="C36" s="260">
        <v>2020</v>
      </c>
      <c r="D36" s="276"/>
      <c r="E36" s="260">
        <v>2021</v>
      </c>
      <c r="F36" s="276"/>
      <c r="G36" s="90"/>
    </row>
    <row r="37" spans="1:7" x14ac:dyDescent="0.25">
      <c r="A37" s="274" t="s">
        <v>35</v>
      </c>
      <c r="B37" s="259">
        <f t="shared" ref="B37:B45" si="7">H14</f>
        <v>6075</v>
      </c>
      <c r="C37" s="259">
        <f t="shared" si="6"/>
        <v>5666</v>
      </c>
      <c r="D37" s="276">
        <f t="shared" ref="D37:D68" si="8">(C37-B37)/B37</f>
        <v>-6.7325102880658433E-2</v>
      </c>
      <c r="E37" s="259">
        <f t="shared" ref="E37:E45" si="9">B14</f>
        <v>8095.42</v>
      </c>
      <c r="F37" s="276">
        <f t="shared" ref="F37:F68" si="10">(E37-C37)/C37</f>
        <v>0.42877162019061066</v>
      </c>
      <c r="G37" s="90"/>
    </row>
    <row r="38" spans="1:7" x14ac:dyDescent="0.25">
      <c r="A38" s="274" t="s">
        <v>53</v>
      </c>
      <c r="B38" s="259">
        <f t="shared" si="7"/>
        <v>1867</v>
      </c>
      <c r="C38" s="259">
        <f t="shared" si="6"/>
        <v>2140</v>
      </c>
      <c r="D38" s="276">
        <f t="shared" si="8"/>
        <v>0.14622388859132299</v>
      </c>
      <c r="E38" s="259">
        <f t="shared" si="9"/>
        <v>2249.92</v>
      </c>
      <c r="F38" s="276">
        <f t="shared" si="10"/>
        <v>5.1364485981308446E-2</v>
      </c>
      <c r="G38" s="90"/>
    </row>
    <row r="39" spans="1:7" x14ac:dyDescent="0.25">
      <c r="A39" s="274" t="s">
        <v>36</v>
      </c>
      <c r="B39" s="259">
        <f t="shared" si="7"/>
        <v>1493</v>
      </c>
      <c r="C39" s="259">
        <f t="shared" si="6"/>
        <v>1669.5</v>
      </c>
      <c r="D39" s="276">
        <f t="shared" si="8"/>
        <v>0.11821835231078366</v>
      </c>
      <c r="E39" s="259">
        <f t="shared" si="9"/>
        <v>2205.63</v>
      </c>
      <c r="F39" s="276">
        <f t="shared" si="10"/>
        <v>0.3211320754716982</v>
      </c>
      <c r="G39" s="90"/>
    </row>
    <row r="40" spans="1:7" x14ac:dyDescent="0.25">
      <c r="A40" s="274" t="s">
        <v>37</v>
      </c>
      <c r="B40" s="259">
        <f t="shared" si="7"/>
        <v>157</v>
      </c>
      <c r="C40" s="259">
        <f t="shared" si="6"/>
        <v>138.5</v>
      </c>
      <c r="D40" s="276">
        <f t="shared" si="8"/>
        <v>-0.1178343949044586</v>
      </c>
      <c r="E40" s="259">
        <f t="shared" si="9"/>
        <v>109.5</v>
      </c>
      <c r="F40" s="276">
        <f t="shared" si="10"/>
        <v>-0.20938628158844766</v>
      </c>
      <c r="G40" s="90"/>
    </row>
    <row r="41" spans="1:7" x14ac:dyDescent="0.25">
      <c r="A41" s="274" t="s">
        <v>54</v>
      </c>
      <c r="B41" s="259">
        <f t="shared" si="7"/>
        <v>3177</v>
      </c>
      <c r="C41" s="259">
        <f t="shared" si="6"/>
        <v>506</v>
      </c>
      <c r="D41" s="276">
        <f t="shared" si="8"/>
        <v>-0.84073024866225998</v>
      </c>
      <c r="E41" s="259">
        <f t="shared" si="9"/>
        <v>1765</v>
      </c>
      <c r="F41" s="276">
        <f t="shared" si="10"/>
        <v>2.4881422924901186</v>
      </c>
      <c r="G41" s="90"/>
    </row>
    <row r="42" spans="1:7" x14ac:dyDescent="0.25">
      <c r="A42" s="274" t="s">
        <v>71</v>
      </c>
      <c r="B42" s="259">
        <f t="shared" si="7"/>
        <v>0</v>
      </c>
      <c r="C42" s="259">
        <f t="shared" si="6"/>
        <v>0</v>
      </c>
      <c r="D42" s="276"/>
      <c r="E42" s="259">
        <f t="shared" si="9"/>
        <v>397.28</v>
      </c>
      <c r="F42" s="276"/>
      <c r="G42" s="90"/>
    </row>
    <row r="43" spans="1:7" x14ac:dyDescent="0.25">
      <c r="A43" s="274" t="s">
        <v>61</v>
      </c>
      <c r="B43" s="259">
        <f t="shared" si="7"/>
        <v>508.8</v>
      </c>
      <c r="C43" s="259">
        <f t="shared" si="6"/>
        <v>207.6</v>
      </c>
      <c r="D43" s="276">
        <f t="shared" si="8"/>
        <v>-0.59198113207547176</v>
      </c>
      <c r="E43" s="259">
        <f t="shared" si="9"/>
        <v>390.8</v>
      </c>
      <c r="F43" s="276">
        <f t="shared" si="10"/>
        <v>0.8824662813102121</v>
      </c>
      <c r="G43" s="90"/>
    </row>
    <row r="44" spans="1:7" x14ac:dyDescent="0.25">
      <c r="A44" s="274" t="s">
        <v>58</v>
      </c>
      <c r="B44" s="259">
        <f t="shared" si="7"/>
        <v>1040.0999999999999</v>
      </c>
      <c r="C44" s="259">
        <f t="shared" si="6"/>
        <v>183.75</v>
      </c>
      <c r="D44" s="276">
        <f t="shared" si="8"/>
        <v>-0.82333429477934816</v>
      </c>
      <c r="E44" s="259">
        <f t="shared" si="9"/>
        <v>786.06000000000006</v>
      </c>
      <c r="F44" s="276">
        <f t="shared" si="10"/>
        <v>3.2778775510204086</v>
      </c>
      <c r="G44" s="260"/>
    </row>
    <row r="45" spans="1:7" s="233" customFormat="1" x14ac:dyDescent="0.25">
      <c r="B45" s="275">
        <f t="shared" si="7"/>
        <v>14317.9</v>
      </c>
      <c r="C45" s="275">
        <f t="shared" ref="C45" si="11">E22</f>
        <v>10511.35</v>
      </c>
      <c r="D45" s="276">
        <f t="shared" si="8"/>
        <v>-0.2658595185048086</v>
      </c>
      <c r="E45" s="275">
        <f t="shared" si="9"/>
        <v>15999.61</v>
      </c>
      <c r="F45" s="276">
        <f t="shared" si="10"/>
        <v>0.52212703411074701</v>
      </c>
      <c r="G45" s="276"/>
    </row>
    <row r="46" spans="1:7" x14ac:dyDescent="0.25">
      <c r="D46" s="276"/>
      <c r="F46" s="276"/>
      <c r="G46" s="90"/>
    </row>
    <row r="47" spans="1:7" x14ac:dyDescent="0.25">
      <c r="D47" s="276"/>
      <c r="F47" s="276"/>
      <c r="G47" s="90"/>
    </row>
    <row r="48" spans="1:7" x14ac:dyDescent="0.25">
      <c r="A48" s="233" t="s">
        <v>85</v>
      </c>
      <c r="B48" s="260">
        <v>2019</v>
      </c>
      <c r="C48" s="260">
        <v>2020</v>
      </c>
      <c r="D48" s="276"/>
      <c r="E48" s="260">
        <v>2021</v>
      </c>
      <c r="F48" s="276"/>
      <c r="G48" s="90"/>
    </row>
    <row r="49" spans="1:7" x14ac:dyDescent="0.25">
      <c r="A49" s="267" t="s">
        <v>80</v>
      </c>
      <c r="D49" s="276"/>
      <c r="F49" s="276"/>
      <c r="G49" s="90"/>
    </row>
    <row r="50" spans="1:7" x14ac:dyDescent="0.25">
      <c r="A50" s="274" t="s">
        <v>35</v>
      </c>
      <c r="B50" s="192">
        <f t="shared" ref="B50:B57" si="12">I4</f>
        <v>3372</v>
      </c>
      <c r="C50" s="192">
        <f t="shared" ref="C50:C57" si="13">F4</f>
        <v>2451</v>
      </c>
      <c r="D50" s="276">
        <f t="shared" si="8"/>
        <v>-0.27313167259786475</v>
      </c>
      <c r="E50" s="192">
        <f t="shared" ref="E50:E57" si="14">C4</f>
        <v>3925</v>
      </c>
      <c r="F50" s="276">
        <f t="shared" si="10"/>
        <v>0.60138718890248877</v>
      </c>
      <c r="G50" s="90"/>
    </row>
    <row r="51" spans="1:7" x14ac:dyDescent="0.25">
      <c r="A51" s="274" t="s">
        <v>53</v>
      </c>
      <c r="B51" s="192">
        <f t="shared" si="12"/>
        <v>2476</v>
      </c>
      <c r="C51" s="192">
        <f t="shared" si="13"/>
        <v>596</v>
      </c>
      <c r="D51" s="276">
        <f t="shared" si="8"/>
        <v>-0.75928917609046853</v>
      </c>
      <c r="E51" s="192">
        <f t="shared" si="14"/>
        <v>719</v>
      </c>
      <c r="F51" s="276">
        <f t="shared" si="10"/>
        <v>0.2063758389261745</v>
      </c>
      <c r="G51" s="90"/>
    </row>
    <row r="52" spans="1:7" x14ac:dyDescent="0.25">
      <c r="A52" s="274" t="s">
        <v>36</v>
      </c>
      <c r="B52" s="192">
        <f t="shared" si="12"/>
        <v>872</v>
      </c>
      <c r="C52" s="192">
        <f t="shared" si="13"/>
        <v>726</v>
      </c>
      <c r="D52" s="276">
        <f t="shared" si="8"/>
        <v>-0.16743119266055045</v>
      </c>
      <c r="E52" s="192">
        <f t="shared" si="14"/>
        <v>1245</v>
      </c>
      <c r="F52" s="276">
        <f t="shared" si="10"/>
        <v>0.71487603305785119</v>
      </c>
      <c r="G52" s="90"/>
    </row>
    <row r="53" spans="1:7" x14ac:dyDescent="0.25">
      <c r="A53" s="274" t="s">
        <v>37</v>
      </c>
      <c r="B53" s="192">
        <f t="shared" si="12"/>
        <v>214</v>
      </c>
      <c r="C53" s="192">
        <f t="shared" si="13"/>
        <v>126</v>
      </c>
      <c r="D53" s="276">
        <f t="shared" si="8"/>
        <v>-0.41121495327102803</v>
      </c>
      <c r="E53" s="192">
        <f t="shared" si="14"/>
        <v>89</v>
      </c>
      <c r="F53" s="276">
        <f t="shared" si="10"/>
        <v>-0.29365079365079366</v>
      </c>
      <c r="G53" s="90"/>
    </row>
    <row r="54" spans="1:7" x14ac:dyDescent="0.25">
      <c r="A54" s="274" t="s">
        <v>54</v>
      </c>
      <c r="B54" s="192">
        <f t="shared" si="12"/>
        <v>3803</v>
      </c>
      <c r="C54" s="192">
        <f t="shared" si="13"/>
        <v>1601</v>
      </c>
      <c r="D54" s="276">
        <f t="shared" si="8"/>
        <v>-0.5790165658690507</v>
      </c>
      <c r="E54" s="192">
        <f t="shared" si="14"/>
        <v>609</v>
      </c>
      <c r="F54" s="276">
        <f t="shared" si="10"/>
        <v>-0.6196127420362274</v>
      </c>
      <c r="G54" s="90"/>
    </row>
    <row r="55" spans="1:7" x14ac:dyDescent="0.25">
      <c r="A55" s="274" t="s">
        <v>71</v>
      </c>
      <c r="B55" s="192">
        <f t="shared" si="12"/>
        <v>0</v>
      </c>
      <c r="C55" s="192">
        <f t="shared" si="13"/>
        <v>0</v>
      </c>
      <c r="D55" s="276"/>
      <c r="E55" s="192">
        <f t="shared" si="14"/>
        <v>106</v>
      </c>
      <c r="F55" s="276"/>
      <c r="G55" s="90"/>
    </row>
    <row r="56" spans="1:7" x14ac:dyDescent="0.25">
      <c r="A56" s="274" t="s">
        <v>40</v>
      </c>
      <c r="B56" s="192">
        <f t="shared" si="12"/>
        <v>0</v>
      </c>
      <c r="C56" s="192">
        <f t="shared" si="13"/>
        <v>1150</v>
      </c>
      <c r="D56" s="276"/>
      <c r="E56" s="192">
        <f t="shared" si="14"/>
        <v>56</v>
      </c>
      <c r="F56" s="276">
        <f t="shared" si="10"/>
        <v>-0.95130434782608697</v>
      </c>
      <c r="G56" s="260"/>
    </row>
    <row r="57" spans="1:7" x14ac:dyDescent="0.25">
      <c r="A57" s="267"/>
      <c r="B57" s="261">
        <f t="shared" si="12"/>
        <v>10737</v>
      </c>
      <c r="C57" s="261">
        <f t="shared" si="13"/>
        <v>6650</v>
      </c>
      <c r="D57" s="276">
        <f t="shared" si="8"/>
        <v>-0.38064636304368071</v>
      </c>
      <c r="E57" s="261">
        <f t="shared" si="14"/>
        <v>6749</v>
      </c>
      <c r="F57" s="276">
        <f t="shared" si="10"/>
        <v>1.4887218045112782E-2</v>
      </c>
      <c r="G57" s="276"/>
    </row>
    <row r="58" spans="1:7" x14ac:dyDescent="0.25">
      <c r="A58" s="149"/>
      <c r="B58" s="192"/>
      <c r="C58" s="192"/>
      <c r="D58" s="276"/>
      <c r="E58" s="192"/>
      <c r="F58" s="276"/>
      <c r="G58" s="90"/>
    </row>
    <row r="59" spans="1:7" x14ac:dyDescent="0.25">
      <c r="A59" s="271" t="s">
        <v>79</v>
      </c>
      <c r="B59" s="260">
        <v>2019</v>
      </c>
      <c r="C59" s="260">
        <v>2020</v>
      </c>
      <c r="D59" s="276"/>
      <c r="E59" s="260">
        <v>2021</v>
      </c>
      <c r="F59" s="276"/>
      <c r="G59" s="90"/>
    </row>
    <row r="60" spans="1:7" x14ac:dyDescent="0.25">
      <c r="A60" s="274" t="s">
        <v>35</v>
      </c>
      <c r="B60" s="192">
        <f t="shared" ref="B60:B68" si="15">I14</f>
        <v>7721</v>
      </c>
      <c r="C60" s="192">
        <f t="shared" ref="C60:C68" si="16">F14</f>
        <v>6879</v>
      </c>
      <c r="D60" s="276">
        <f t="shared" si="8"/>
        <v>-0.1090532314467038</v>
      </c>
      <c r="E60" s="192">
        <f t="shared" ref="E60:E68" si="17">C14</f>
        <v>14381.97</v>
      </c>
      <c r="F60" s="276">
        <f t="shared" si="10"/>
        <v>1.0907064980375054</v>
      </c>
      <c r="G60" s="90"/>
    </row>
    <row r="61" spans="1:7" x14ac:dyDescent="0.25">
      <c r="A61" s="274" t="s">
        <v>53</v>
      </c>
      <c r="B61" s="192">
        <f t="shared" si="15"/>
        <v>4936</v>
      </c>
      <c r="C61" s="192">
        <f t="shared" si="16"/>
        <v>2774</v>
      </c>
      <c r="D61" s="276">
        <f t="shared" si="8"/>
        <v>-0.43800648298217182</v>
      </c>
      <c r="E61" s="192">
        <f t="shared" si="17"/>
        <v>5549.1799999999994</v>
      </c>
      <c r="F61" s="276">
        <f t="shared" si="10"/>
        <v>1.0004253785147799</v>
      </c>
      <c r="G61" s="90"/>
    </row>
    <row r="62" spans="1:7" x14ac:dyDescent="0.25">
      <c r="A62" s="274" t="s">
        <v>36</v>
      </c>
      <c r="B62" s="192">
        <f t="shared" si="15"/>
        <v>2304</v>
      </c>
      <c r="C62" s="192">
        <f t="shared" si="16"/>
        <v>1965.5</v>
      </c>
      <c r="D62" s="276">
        <f t="shared" si="8"/>
        <v>-0.14691840277777779</v>
      </c>
      <c r="E62" s="192">
        <f t="shared" si="17"/>
        <v>3990.2100000000005</v>
      </c>
      <c r="F62" s="276">
        <f t="shared" si="10"/>
        <v>1.0301246502162302</v>
      </c>
      <c r="G62" s="90"/>
    </row>
    <row r="63" spans="1:7" x14ac:dyDescent="0.25">
      <c r="A63" s="274" t="s">
        <v>37</v>
      </c>
      <c r="B63" s="192">
        <f t="shared" si="15"/>
        <v>349.5</v>
      </c>
      <c r="C63" s="192">
        <f t="shared" si="16"/>
        <v>216.5</v>
      </c>
      <c r="D63" s="276">
        <f t="shared" si="8"/>
        <v>-0.38054363376251787</v>
      </c>
      <c r="E63" s="192">
        <f t="shared" si="17"/>
        <v>245.5</v>
      </c>
      <c r="F63" s="276">
        <f t="shared" si="10"/>
        <v>0.13394919168591224</v>
      </c>
      <c r="G63" s="90"/>
    </row>
    <row r="64" spans="1:7" x14ac:dyDescent="0.25">
      <c r="A64" s="274" t="s">
        <v>54</v>
      </c>
      <c r="B64" s="192">
        <f t="shared" si="15"/>
        <v>11226.05</v>
      </c>
      <c r="C64" s="192">
        <f t="shared" si="16"/>
        <v>5365.5</v>
      </c>
      <c r="D64" s="276">
        <f t="shared" si="8"/>
        <v>-0.52204916243914823</v>
      </c>
      <c r="E64" s="192">
        <f t="shared" si="17"/>
        <v>7145.5499999999993</v>
      </c>
      <c r="F64" s="276">
        <f t="shared" si="10"/>
        <v>0.33175845680738036</v>
      </c>
      <c r="G64" s="90"/>
    </row>
    <row r="65" spans="1:7" x14ac:dyDescent="0.25">
      <c r="A65" s="274" t="s">
        <v>71</v>
      </c>
      <c r="B65" s="192">
        <f t="shared" si="15"/>
        <v>0</v>
      </c>
      <c r="C65" s="192">
        <f t="shared" si="16"/>
        <v>0</v>
      </c>
      <c r="D65" s="276"/>
      <c r="E65" s="192">
        <f t="shared" si="17"/>
        <v>687</v>
      </c>
      <c r="F65" s="276"/>
      <c r="G65" s="90"/>
    </row>
    <row r="66" spans="1:7" x14ac:dyDescent="0.25">
      <c r="A66" s="274" t="s">
        <v>61</v>
      </c>
      <c r="B66" s="192">
        <f t="shared" si="15"/>
        <v>648.4</v>
      </c>
      <c r="C66" s="192">
        <f t="shared" si="16"/>
        <v>249.6</v>
      </c>
      <c r="D66" s="276">
        <f t="shared" si="8"/>
        <v>-0.61505243676742749</v>
      </c>
      <c r="E66" s="192">
        <f t="shared" si="17"/>
        <v>556.6</v>
      </c>
      <c r="F66" s="276">
        <f t="shared" si="10"/>
        <v>1.2299679487179487</v>
      </c>
      <c r="G66" s="90"/>
    </row>
    <row r="67" spans="1:7" x14ac:dyDescent="0.25">
      <c r="A67" s="274" t="s">
        <v>58</v>
      </c>
      <c r="B67" s="192">
        <f t="shared" si="15"/>
        <v>2104.2999999999997</v>
      </c>
      <c r="C67" s="192">
        <f t="shared" si="16"/>
        <v>502.45</v>
      </c>
      <c r="D67" s="276">
        <f t="shared" si="8"/>
        <v>-0.7612270113576961</v>
      </c>
      <c r="E67" s="192">
        <f t="shared" si="17"/>
        <v>1231.58</v>
      </c>
      <c r="F67" s="276">
        <f t="shared" si="10"/>
        <v>1.4511493680963279</v>
      </c>
      <c r="G67" s="260"/>
    </row>
    <row r="68" spans="1:7" x14ac:dyDescent="0.25">
      <c r="A68" s="233"/>
      <c r="B68" s="261">
        <f t="shared" si="15"/>
        <v>29289.25</v>
      </c>
      <c r="C68" s="261">
        <f t="shared" si="16"/>
        <v>17952.55</v>
      </c>
      <c r="D68" s="276">
        <f t="shared" si="8"/>
        <v>-0.38706009884172521</v>
      </c>
      <c r="E68" s="261">
        <f t="shared" si="17"/>
        <v>33787.589999999997</v>
      </c>
      <c r="F68" s="276">
        <f t="shared" si="10"/>
        <v>0.88204962526214925</v>
      </c>
      <c r="G68" s="276"/>
    </row>
    <row r="69" spans="1:7" x14ac:dyDescent="0.25">
      <c r="C69" s="192"/>
    </row>
  </sheetData>
  <mergeCells count="3">
    <mergeCell ref="E2:G2"/>
    <mergeCell ref="H2:J2"/>
    <mergeCell ref="B2:D2"/>
  </mergeCells>
  <phoneticPr fontId="2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6"/>
  <sheetViews>
    <sheetView workbookViewId="0">
      <selection activeCell="P1" sqref="P1:Q1048576"/>
    </sheetView>
  </sheetViews>
  <sheetFormatPr defaultColWidth="11.42578125" defaultRowHeight="15" x14ac:dyDescent="0.25"/>
  <cols>
    <col min="1" max="1" width="20.7109375" bestFit="1" customWidth="1"/>
    <col min="2" max="4" width="9.5703125" bestFit="1" customWidth="1"/>
    <col min="5" max="6" width="11" bestFit="1" customWidth="1"/>
    <col min="7" max="8" width="9.42578125" bestFit="1" customWidth="1"/>
    <col min="9" max="9" width="11" bestFit="1" customWidth="1"/>
    <col min="10" max="13" width="9.42578125" bestFit="1" customWidth="1"/>
    <col min="14" max="14" width="9.5703125" bestFit="1" customWidth="1"/>
  </cols>
  <sheetData>
    <row r="1" spans="1:14" ht="15.75" thickBot="1" x14ac:dyDescent="0.3">
      <c r="A1" s="355" t="s">
        <v>95</v>
      </c>
      <c r="B1" s="355"/>
      <c r="C1" s="355"/>
      <c r="D1" s="355"/>
      <c r="E1" s="355"/>
      <c r="F1" s="355"/>
      <c r="G1" s="355"/>
      <c r="H1" s="355"/>
      <c r="I1" s="355"/>
      <c r="J1" s="355"/>
      <c r="K1" s="355"/>
      <c r="L1" s="355"/>
      <c r="M1" s="355"/>
      <c r="N1" s="356"/>
    </row>
    <row r="2" spans="1:14" ht="15.75" thickBot="1" x14ac:dyDescent="0.3">
      <c r="A2" s="294"/>
      <c r="B2" s="291" t="s">
        <v>45</v>
      </c>
      <c r="C2" s="248" t="s">
        <v>46</v>
      </c>
      <c r="D2" s="248" t="s">
        <v>47</v>
      </c>
      <c r="E2" s="248" t="s">
        <v>48</v>
      </c>
      <c r="F2" s="248" t="s">
        <v>49</v>
      </c>
      <c r="G2" s="248" t="s">
        <v>50</v>
      </c>
      <c r="H2" s="248" t="s">
        <v>51</v>
      </c>
      <c r="I2" s="291" t="s">
        <v>52</v>
      </c>
      <c r="J2" s="291" t="s">
        <v>44</v>
      </c>
      <c r="K2" s="291" t="s">
        <v>43</v>
      </c>
      <c r="L2" s="291" t="s">
        <v>41</v>
      </c>
      <c r="M2" s="291" t="s">
        <v>42</v>
      </c>
      <c r="N2" s="342" t="s">
        <v>57</v>
      </c>
    </row>
    <row r="3" spans="1:14" x14ac:dyDescent="0.25">
      <c r="A3" s="179" t="s">
        <v>35</v>
      </c>
      <c r="B3" s="296">
        <v>12</v>
      </c>
      <c r="C3" s="296">
        <v>18</v>
      </c>
      <c r="D3" s="296">
        <v>13</v>
      </c>
      <c r="E3" s="296">
        <v>140</v>
      </c>
      <c r="F3" s="310">
        <v>13</v>
      </c>
      <c r="G3" s="296">
        <v>6</v>
      </c>
      <c r="H3" s="296">
        <v>23</v>
      </c>
      <c r="I3" s="296">
        <v>44</v>
      </c>
      <c r="J3" s="296">
        <v>17</v>
      </c>
      <c r="K3" s="296">
        <v>136</v>
      </c>
      <c r="L3" s="256"/>
      <c r="M3" s="297"/>
      <c r="N3" s="256">
        <f>SUM(B3+C3+D3+E3+F3+G3+H3+I3+J3+K3+L3+M3)</f>
        <v>422</v>
      </c>
    </row>
    <row r="4" spans="1:14" x14ac:dyDescent="0.25">
      <c r="A4" s="180" t="s">
        <v>69</v>
      </c>
      <c r="B4" s="298">
        <v>130</v>
      </c>
      <c r="C4" s="298">
        <v>125</v>
      </c>
      <c r="D4" s="298">
        <v>28</v>
      </c>
      <c r="E4" s="298">
        <v>414</v>
      </c>
      <c r="F4" s="312">
        <v>79</v>
      </c>
      <c r="G4" s="298">
        <v>32</v>
      </c>
      <c r="H4" s="298">
        <v>29</v>
      </c>
      <c r="I4" s="298">
        <v>53</v>
      </c>
      <c r="J4" s="298">
        <v>80</v>
      </c>
      <c r="K4" s="298">
        <v>85</v>
      </c>
      <c r="L4" s="257"/>
      <c r="M4" s="299"/>
      <c r="N4" s="257">
        <f>SUM(B4+C4+D4+E4+F4+G4+H4+I4+J4+K4+L4+M4)</f>
        <v>1055</v>
      </c>
    </row>
    <row r="5" spans="1:14" x14ac:dyDescent="0.25">
      <c r="A5" s="177" t="s">
        <v>70</v>
      </c>
      <c r="B5" s="298">
        <v>41</v>
      </c>
      <c r="C5" s="298">
        <v>36</v>
      </c>
      <c r="D5" s="298">
        <v>16</v>
      </c>
      <c r="E5" s="298">
        <v>19</v>
      </c>
      <c r="F5" s="298">
        <v>40</v>
      </c>
      <c r="G5" s="298">
        <v>0</v>
      </c>
      <c r="H5" s="298">
        <v>11</v>
      </c>
      <c r="I5" s="298">
        <v>19</v>
      </c>
      <c r="J5" s="298">
        <v>14</v>
      </c>
      <c r="K5" s="298">
        <v>50</v>
      </c>
      <c r="L5" s="257"/>
      <c r="M5" s="299"/>
      <c r="N5" s="257">
        <f>SUM(B5+C5+D5+E5+F5+G5+H5+I5+J5+K5+L5+M5)</f>
        <v>246</v>
      </c>
    </row>
    <row r="6" spans="1:14" x14ac:dyDescent="0.25">
      <c r="A6" s="177" t="s">
        <v>98</v>
      </c>
      <c r="B6" s="324"/>
      <c r="C6" s="324"/>
      <c r="D6" s="324"/>
      <c r="E6" s="324"/>
      <c r="F6" s="324"/>
      <c r="G6" s="324"/>
      <c r="H6" s="324">
        <v>25</v>
      </c>
      <c r="I6" s="324">
        <v>52</v>
      </c>
      <c r="J6" s="324">
        <v>80</v>
      </c>
      <c r="K6" s="324">
        <v>9</v>
      </c>
      <c r="L6" s="257"/>
      <c r="M6" s="325"/>
      <c r="N6" s="257">
        <f>SUM(B6+C6+D6+E6+F6+G6+H6+I6+J6+K6+L6+M6)</f>
        <v>166</v>
      </c>
    </row>
    <row r="7" spans="1:14" ht="15.75" thickBot="1" x14ac:dyDescent="0.3">
      <c r="A7" s="178" t="s">
        <v>71</v>
      </c>
      <c r="B7" s="240">
        <v>10</v>
      </c>
      <c r="C7" s="240">
        <v>5</v>
      </c>
      <c r="D7" s="240">
        <v>0</v>
      </c>
      <c r="E7" s="240">
        <v>2</v>
      </c>
      <c r="F7" s="240">
        <v>2</v>
      </c>
      <c r="G7" s="240">
        <v>7</v>
      </c>
      <c r="H7" s="240">
        <v>0</v>
      </c>
      <c r="I7" s="240">
        <v>0</v>
      </c>
      <c r="J7" s="240">
        <v>4</v>
      </c>
      <c r="K7" s="240">
        <v>0</v>
      </c>
      <c r="L7" s="258"/>
      <c r="M7" s="83"/>
      <c r="N7" s="258">
        <f>SUM(B7+C7+D7+E7+F7+G7+H7+I7+J7+K7+L7+M7)</f>
        <v>30</v>
      </c>
    </row>
    <row r="8" spans="1:14" x14ac:dyDescent="0.25">
      <c r="A8" s="306" t="s">
        <v>57</v>
      </c>
      <c r="B8" s="244">
        <f>SUM(B3:B7)</f>
        <v>193</v>
      </c>
      <c r="C8" s="244">
        <f t="shared" ref="C8:M8" si="0">SUM(C3:C7)</f>
        <v>184</v>
      </c>
      <c r="D8" s="244">
        <f t="shared" si="0"/>
        <v>57</v>
      </c>
      <c r="E8" s="244">
        <f t="shared" si="0"/>
        <v>575</v>
      </c>
      <c r="F8" s="244">
        <f t="shared" si="0"/>
        <v>134</v>
      </c>
      <c r="G8" s="244">
        <f t="shared" si="0"/>
        <v>45</v>
      </c>
      <c r="H8" s="244">
        <f t="shared" si="0"/>
        <v>88</v>
      </c>
      <c r="I8" s="244">
        <f t="shared" si="0"/>
        <v>168</v>
      </c>
      <c r="J8" s="244">
        <f t="shared" si="0"/>
        <v>195</v>
      </c>
      <c r="K8" s="244">
        <f t="shared" si="0"/>
        <v>280</v>
      </c>
      <c r="L8" s="244">
        <f t="shared" si="0"/>
        <v>0</v>
      </c>
      <c r="M8" s="244">
        <f t="shared" si="0"/>
        <v>0</v>
      </c>
      <c r="N8" s="244">
        <f>SUM(N3:N7)</f>
        <v>1919</v>
      </c>
    </row>
    <row r="9" spans="1:14" ht="15.75" thickBot="1" x14ac:dyDescent="0.3"/>
    <row r="10" spans="1:14" ht="15.75" thickBot="1" x14ac:dyDescent="0.3">
      <c r="A10" s="355" t="s">
        <v>96</v>
      </c>
      <c r="B10" s="355"/>
      <c r="C10" s="355"/>
      <c r="D10" s="355"/>
      <c r="E10" s="355"/>
      <c r="F10" s="355"/>
      <c r="G10" s="355"/>
      <c r="H10" s="355"/>
      <c r="I10" s="355"/>
      <c r="J10" s="355"/>
      <c r="K10" s="355"/>
      <c r="L10" s="355"/>
      <c r="M10" s="355"/>
      <c r="N10" s="356"/>
    </row>
    <row r="11" spans="1:14" ht="15.75" thickBot="1" x14ac:dyDescent="0.3">
      <c r="A11" s="294"/>
      <c r="B11" s="291" t="s">
        <v>45</v>
      </c>
      <c r="C11" s="248" t="s">
        <v>46</v>
      </c>
      <c r="D11" s="248" t="s">
        <v>47</v>
      </c>
      <c r="E11" s="248" t="s">
        <v>48</v>
      </c>
      <c r="F11" s="248" t="s">
        <v>49</v>
      </c>
      <c r="G11" s="248" t="s">
        <v>50</v>
      </c>
      <c r="H11" s="248" t="s">
        <v>51</v>
      </c>
      <c r="I11" s="291" t="s">
        <v>52</v>
      </c>
      <c r="J11" s="291" t="s">
        <v>44</v>
      </c>
      <c r="K11" s="291" t="s">
        <v>43</v>
      </c>
      <c r="L11" s="291" t="s">
        <v>41</v>
      </c>
      <c r="M11" s="291" t="s">
        <v>42</v>
      </c>
      <c r="N11" s="238" t="s">
        <v>57</v>
      </c>
    </row>
    <row r="12" spans="1:14" x14ac:dyDescent="0.25">
      <c r="A12" s="179" t="s">
        <v>35</v>
      </c>
      <c r="B12" s="184">
        <v>41.71</v>
      </c>
      <c r="C12" s="184">
        <v>62.08</v>
      </c>
      <c r="D12" s="184">
        <v>43.26</v>
      </c>
      <c r="E12" s="184">
        <v>449.81</v>
      </c>
      <c r="F12" s="313">
        <v>45.2</v>
      </c>
      <c r="G12" s="181">
        <v>23.28</v>
      </c>
      <c r="H12" s="181">
        <v>62.08</v>
      </c>
      <c r="I12" s="181">
        <v>131.75</v>
      </c>
      <c r="J12" s="181">
        <v>56.26</v>
      </c>
      <c r="K12" s="181">
        <v>86.91</v>
      </c>
      <c r="L12" s="187"/>
      <c r="M12" s="181"/>
      <c r="N12" s="188">
        <f>SUM(B12+C12+D12+E12+F12+G12+H12+I12+J12+K12+L12+M12)</f>
        <v>1002.34</v>
      </c>
    </row>
    <row r="13" spans="1:14" x14ac:dyDescent="0.25">
      <c r="A13" s="180" t="s">
        <v>69</v>
      </c>
      <c r="B13" s="185">
        <v>598.48</v>
      </c>
      <c r="C13" s="185">
        <v>561.17999999999995</v>
      </c>
      <c r="D13" s="185">
        <v>137.63999999999999</v>
      </c>
      <c r="E13" s="185">
        <v>2096.44</v>
      </c>
      <c r="F13" s="314">
        <v>370.34</v>
      </c>
      <c r="G13" s="182">
        <v>134.34</v>
      </c>
      <c r="H13" s="182">
        <v>135.94</v>
      </c>
      <c r="I13" s="182">
        <v>240.02</v>
      </c>
      <c r="J13" s="182">
        <v>377.8</v>
      </c>
      <c r="K13" s="182">
        <v>352.3</v>
      </c>
      <c r="L13" s="182"/>
      <c r="M13" s="182"/>
      <c r="N13" s="188">
        <f>SUM(B13+C13+D13+E13+F13+G13+H13+I13+J13+K13+L13+M13)</f>
        <v>5004.4800000000005</v>
      </c>
    </row>
    <row r="14" spans="1:14" x14ac:dyDescent="0.25">
      <c r="A14" s="177" t="s">
        <v>70</v>
      </c>
      <c r="B14" s="185">
        <v>110.41</v>
      </c>
      <c r="C14" s="185">
        <v>89.1</v>
      </c>
      <c r="D14" s="185">
        <v>36.31</v>
      </c>
      <c r="E14" s="185">
        <v>48.87</v>
      </c>
      <c r="F14" s="314">
        <v>122.51</v>
      </c>
      <c r="G14" s="182">
        <v>0</v>
      </c>
      <c r="H14" s="182">
        <v>26</v>
      </c>
      <c r="I14" s="182">
        <v>52.3</v>
      </c>
      <c r="J14" s="182">
        <v>25.83</v>
      </c>
      <c r="K14" s="182">
        <v>129.77000000000001</v>
      </c>
      <c r="L14" s="182"/>
      <c r="M14" s="182"/>
      <c r="N14" s="188">
        <f>SUM(B14+C14+D14+E14+F14+G14+H14+I14+J14+K14+L14+M14)</f>
        <v>641.1</v>
      </c>
    </row>
    <row r="15" spans="1:14" x14ac:dyDescent="0.25">
      <c r="A15" s="177" t="s">
        <v>98</v>
      </c>
      <c r="B15" s="185"/>
      <c r="C15" s="185"/>
      <c r="D15" s="185"/>
      <c r="E15" s="185"/>
      <c r="F15" s="314"/>
      <c r="G15" s="182"/>
      <c r="H15" s="182">
        <v>120.22</v>
      </c>
      <c r="I15" s="182">
        <v>382.14</v>
      </c>
      <c r="J15" s="182">
        <v>462.62</v>
      </c>
      <c r="K15" s="182">
        <v>251.54</v>
      </c>
      <c r="L15" s="182"/>
      <c r="M15" s="182"/>
      <c r="N15" s="188">
        <f>SUM(B15+C15+D15+E15+F15+G15+H15+I15+J15+K15+L15+M15)</f>
        <v>1216.52</v>
      </c>
    </row>
    <row r="16" spans="1:14" ht="15.75" thickBot="1" x14ac:dyDescent="0.3">
      <c r="A16" s="178" t="s">
        <v>71</v>
      </c>
      <c r="B16" s="186">
        <v>52.5</v>
      </c>
      <c r="C16" s="186">
        <v>27.16</v>
      </c>
      <c r="D16" s="186">
        <v>0</v>
      </c>
      <c r="E16" s="186">
        <v>11.64</v>
      </c>
      <c r="F16" s="183">
        <v>7.76</v>
      </c>
      <c r="G16" s="183">
        <v>18.88</v>
      </c>
      <c r="H16" s="183">
        <v>0</v>
      </c>
      <c r="I16" s="183">
        <v>0</v>
      </c>
      <c r="J16" s="183">
        <v>20</v>
      </c>
      <c r="K16" s="183">
        <v>0</v>
      </c>
      <c r="L16" s="107"/>
      <c r="M16" s="183"/>
      <c r="N16" s="189">
        <f>SUM(B16+C16+D16+E16+F16+G16+H16+I16+J16+K16+L16+M16)</f>
        <v>137.94</v>
      </c>
    </row>
    <row r="17" spans="1:14" x14ac:dyDescent="0.25">
      <c r="A17" s="306" t="s">
        <v>57</v>
      </c>
      <c r="B17" s="308">
        <f>SUM(B12:B16)</f>
        <v>803.1</v>
      </c>
      <c r="C17" s="308">
        <f t="shared" ref="C17" si="1">SUM(C12:C16)</f>
        <v>739.52</v>
      </c>
      <c r="D17" s="308">
        <f t="shared" ref="D17" si="2">SUM(D12:D16)</f>
        <v>217.20999999999998</v>
      </c>
      <c r="E17" s="308">
        <f t="shared" ref="E17" si="3">SUM(E12:E16)</f>
        <v>2606.7599999999998</v>
      </c>
      <c r="F17" s="308">
        <f t="shared" ref="F17" si="4">SUM(F12:F16)</f>
        <v>545.80999999999995</v>
      </c>
      <c r="G17" s="308">
        <f t="shared" ref="G17" si="5">SUM(G12:G16)</f>
        <v>176.5</v>
      </c>
      <c r="H17" s="308">
        <f t="shared" ref="H17" si="6">SUM(H12:H16)</f>
        <v>344.24</v>
      </c>
      <c r="I17" s="308">
        <f t="shared" ref="I17" si="7">SUM(I12:I16)</f>
        <v>806.21</v>
      </c>
      <c r="J17" s="308">
        <f t="shared" ref="J17" si="8">SUM(J12:J16)</f>
        <v>942.51</v>
      </c>
      <c r="K17" s="308">
        <f t="shared" ref="K17" si="9">SUM(K12:K16)</f>
        <v>820.52</v>
      </c>
      <c r="L17" s="308">
        <f t="shared" ref="L17" si="10">SUM(L12:L16)</f>
        <v>0</v>
      </c>
      <c r="M17" s="308">
        <f t="shared" ref="M17" si="11">SUM(M12:M16)</f>
        <v>0</v>
      </c>
      <c r="N17" s="307">
        <f>SUM(N12:N16)</f>
        <v>8002.38</v>
      </c>
    </row>
    <row r="18" spans="1:14" ht="15.75" thickBot="1" x14ac:dyDescent="0.3">
      <c r="N18" s="283"/>
    </row>
    <row r="19" spans="1:14" ht="15.75" thickBot="1" x14ac:dyDescent="0.3">
      <c r="A19" s="355" t="s">
        <v>82</v>
      </c>
      <c r="B19" s="355"/>
      <c r="C19" s="355"/>
      <c r="D19" s="355"/>
      <c r="E19" s="355"/>
      <c r="F19" s="355"/>
      <c r="G19" s="355"/>
      <c r="H19" s="355"/>
      <c r="I19" s="355"/>
      <c r="J19" s="355"/>
      <c r="K19" s="355"/>
      <c r="L19" s="355"/>
      <c r="M19" s="355"/>
      <c r="N19" s="356"/>
    </row>
    <row r="20" spans="1:14" s="90" customFormat="1" ht="15.75" thickBot="1" x14ac:dyDescent="0.3">
      <c r="A20" s="249"/>
      <c r="B20" s="254" t="s">
        <v>45</v>
      </c>
      <c r="C20" s="248" t="s">
        <v>46</v>
      </c>
      <c r="D20" s="248" t="s">
        <v>47</v>
      </c>
      <c r="E20" s="248" t="s">
        <v>48</v>
      </c>
      <c r="F20" s="248" t="s">
        <v>49</v>
      </c>
      <c r="G20" s="248" t="s">
        <v>50</v>
      </c>
      <c r="H20" s="248" t="s">
        <v>51</v>
      </c>
      <c r="I20" s="254" t="s">
        <v>52</v>
      </c>
      <c r="J20" s="254" t="s">
        <v>44</v>
      </c>
      <c r="K20" s="254" t="s">
        <v>43</v>
      </c>
      <c r="L20" s="254" t="s">
        <v>41</v>
      </c>
      <c r="M20" s="254" t="s">
        <v>42</v>
      </c>
      <c r="N20" s="342" t="s">
        <v>57</v>
      </c>
    </row>
    <row r="21" spans="1:14" ht="15" customHeight="1" x14ac:dyDescent="0.25">
      <c r="A21" s="179" t="s">
        <v>35</v>
      </c>
      <c r="B21" s="250"/>
      <c r="C21" s="250">
        <v>7</v>
      </c>
      <c r="D21" s="250"/>
      <c r="E21" s="250">
        <v>68</v>
      </c>
      <c r="F21" s="250">
        <f>[1]Maig!$G$227</f>
        <v>59</v>
      </c>
      <c r="G21" s="250">
        <f>2+4+2+8+4+3+1</f>
        <v>24</v>
      </c>
      <c r="H21" s="250">
        <v>42</v>
      </c>
      <c r="I21" s="250">
        <v>88</v>
      </c>
      <c r="J21" s="250">
        <v>129</v>
      </c>
      <c r="K21" s="250">
        <v>169</v>
      </c>
      <c r="L21" s="256">
        <v>42</v>
      </c>
      <c r="M21" s="251">
        <v>20</v>
      </c>
      <c r="N21" s="256">
        <f>SUM(B21+C21+D21+E21+F21+G21+H21+I21+J21+K21+L21+M21)</f>
        <v>648</v>
      </c>
    </row>
    <row r="22" spans="1:14" x14ac:dyDescent="0.25">
      <c r="A22" s="180" t="s">
        <v>69</v>
      </c>
      <c r="B22" s="252">
        <v>7</v>
      </c>
      <c r="C22" s="252">
        <v>1</v>
      </c>
      <c r="D22" s="252">
        <v>9</v>
      </c>
      <c r="E22" s="252">
        <v>80</v>
      </c>
      <c r="F22" s="252">
        <f>[1]Maig!$G$228</f>
        <v>93</v>
      </c>
      <c r="G22" s="252">
        <v>62</v>
      </c>
      <c r="H22" s="252">
        <v>62</v>
      </c>
      <c r="I22" s="252">
        <v>149</v>
      </c>
      <c r="J22" s="252">
        <v>64</v>
      </c>
      <c r="K22" s="252">
        <v>121</v>
      </c>
      <c r="L22" s="257">
        <v>91</v>
      </c>
      <c r="M22" s="253">
        <v>40</v>
      </c>
      <c r="N22" s="257">
        <f>SUM(B22+C22+D22+E22+F22+G22+H22+I22+J22+K22+L22+M22)</f>
        <v>779</v>
      </c>
    </row>
    <row r="23" spans="1:14" x14ac:dyDescent="0.25">
      <c r="A23" s="177" t="s">
        <v>70</v>
      </c>
      <c r="B23" s="252"/>
      <c r="C23" s="252"/>
      <c r="D23" s="252">
        <v>4</v>
      </c>
      <c r="E23" s="252">
        <v>35</v>
      </c>
      <c r="F23" s="252">
        <v>92</v>
      </c>
      <c r="G23" s="252">
        <v>91</v>
      </c>
      <c r="H23" s="252">
        <v>17</v>
      </c>
      <c r="I23" s="252">
        <v>92</v>
      </c>
      <c r="J23" s="252">
        <v>37</v>
      </c>
      <c r="K23" s="252">
        <v>33</v>
      </c>
      <c r="L23" s="257">
        <v>20</v>
      </c>
      <c r="M23" s="253">
        <v>21</v>
      </c>
      <c r="N23" s="257">
        <f>SUM(B23+C23+D23+E23+F23+G23+H23+I23+J23+K23+L23+M23)</f>
        <v>442</v>
      </c>
    </row>
    <row r="24" spans="1:14" ht="15.75" thickBot="1" x14ac:dyDescent="0.3">
      <c r="A24" s="178" t="s">
        <v>71</v>
      </c>
      <c r="B24" s="240"/>
      <c r="C24" s="240"/>
      <c r="D24" s="240"/>
      <c r="E24" s="240">
        <v>22</v>
      </c>
      <c r="F24" s="240"/>
      <c r="G24" s="240">
        <v>12</v>
      </c>
      <c r="H24" s="240">
        <f>2+2+1+1+1+1+3</f>
        <v>11</v>
      </c>
      <c r="I24" s="240">
        <v>25</v>
      </c>
      <c r="J24" s="240">
        <v>36</v>
      </c>
      <c r="K24" s="240">
        <v>17</v>
      </c>
      <c r="L24" s="258">
        <v>19</v>
      </c>
      <c r="M24" s="83">
        <v>4</v>
      </c>
      <c r="N24" s="258">
        <f>SUM(B24+C24+D24+E24+F24+G24+H24+I24+J24+K24+L24+M24)</f>
        <v>146</v>
      </c>
    </row>
    <row r="25" spans="1:14" x14ac:dyDescent="0.25">
      <c r="A25" s="306" t="s">
        <v>57</v>
      </c>
      <c r="B25" s="244">
        <f>SUM(B21:B24)</f>
        <v>7</v>
      </c>
      <c r="C25" s="244">
        <f t="shared" ref="C25" si="12">SUM(C21:C24)</f>
        <v>8</v>
      </c>
      <c r="D25" s="244">
        <f t="shared" ref="D25" si="13">SUM(D21:D24)</f>
        <v>13</v>
      </c>
      <c r="E25" s="244">
        <f t="shared" ref="E25" si="14">SUM(E21:E24)</f>
        <v>205</v>
      </c>
      <c r="F25" s="244">
        <f t="shared" ref="F25" si="15">SUM(F21:F24)</f>
        <v>244</v>
      </c>
      <c r="G25" s="244">
        <f t="shared" ref="G25" si="16">SUM(G21:G24)</f>
        <v>189</v>
      </c>
      <c r="H25" s="244">
        <f t="shared" ref="H25" si="17">SUM(H21:H24)</f>
        <v>132</v>
      </c>
      <c r="I25" s="244">
        <f t="shared" ref="I25" si="18">SUM(I21:I24)</f>
        <v>354</v>
      </c>
      <c r="J25" s="244">
        <f t="shared" ref="J25" si="19">SUM(J21:J24)</f>
        <v>266</v>
      </c>
      <c r="K25" s="244">
        <f t="shared" ref="K25" si="20">SUM(K21:K24)</f>
        <v>340</v>
      </c>
      <c r="L25" s="244">
        <f t="shared" ref="L25" si="21">SUM(L21:L24)</f>
        <v>172</v>
      </c>
      <c r="M25" s="244">
        <f t="shared" ref="M25" si="22">SUM(M21:M24)</f>
        <v>85</v>
      </c>
      <c r="N25" s="244">
        <f>SUM(N21:N24)</f>
        <v>2015</v>
      </c>
    </row>
    <row r="26" spans="1:14" ht="15.75" thickBot="1" x14ac:dyDescent="0.3"/>
    <row r="27" spans="1:14" ht="15.75" thickBot="1" x14ac:dyDescent="0.3">
      <c r="A27" s="355" t="s">
        <v>81</v>
      </c>
      <c r="B27" s="355"/>
      <c r="C27" s="355"/>
      <c r="D27" s="355"/>
      <c r="E27" s="355"/>
      <c r="F27" s="355"/>
      <c r="G27" s="355"/>
      <c r="H27" s="355"/>
      <c r="I27" s="355"/>
      <c r="J27" s="355"/>
      <c r="K27" s="355"/>
      <c r="L27" s="355"/>
      <c r="M27" s="355"/>
      <c r="N27" s="356"/>
    </row>
    <row r="28" spans="1:14" s="90" customFormat="1" ht="15.75" thickBot="1" x14ac:dyDescent="0.3">
      <c r="A28" s="249"/>
      <c r="B28" s="254" t="s">
        <v>45</v>
      </c>
      <c r="C28" s="248" t="s">
        <v>46</v>
      </c>
      <c r="D28" s="248" t="s">
        <v>47</v>
      </c>
      <c r="E28" s="248" t="s">
        <v>48</v>
      </c>
      <c r="F28" s="248" t="s">
        <v>49</v>
      </c>
      <c r="G28" s="248" t="s">
        <v>50</v>
      </c>
      <c r="H28" s="248" t="s">
        <v>51</v>
      </c>
      <c r="I28" s="254" t="s">
        <v>52</v>
      </c>
      <c r="J28" s="254" t="s">
        <v>44</v>
      </c>
      <c r="K28" s="254" t="s">
        <v>43</v>
      </c>
      <c r="L28" s="254" t="s">
        <v>41</v>
      </c>
      <c r="M28" s="254" t="s">
        <v>42</v>
      </c>
      <c r="N28" s="238" t="s">
        <v>57</v>
      </c>
    </row>
    <row r="29" spans="1:14" ht="15" customHeight="1" x14ac:dyDescent="0.25">
      <c r="A29" s="179" t="s">
        <v>35</v>
      </c>
      <c r="B29" s="184"/>
      <c r="C29" s="184">
        <v>27</v>
      </c>
      <c r="D29" s="184"/>
      <c r="E29" s="184">
        <v>189.22</v>
      </c>
      <c r="F29" s="181">
        <f>[1]Maig!$H$227</f>
        <v>144.13999999999999</v>
      </c>
      <c r="G29" s="181">
        <f>7.76+7.76+7.76+31.04+14.55+7.76+3.88</f>
        <v>80.510000000000005</v>
      </c>
      <c r="H29" s="181">
        <v>118.58</v>
      </c>
      <c r="I29" s="181">
        <v>282.95999999999998</v>
      </c>
      <c r="J29" s="181">
        <v>361.42</v>
      </c>
      <c r="K29" s="181">
        <v>85.36</v>
      </c>
      <c r="L29" s="187">
        <v>146.47</v>
      </c>
      <c r="M29" s="181">
        <v>61.11</v>
      </c>
      <c r="N29" s="188">
        <f>SUM(B29+C29+D29+E29+F29+G29+H29+I29+J29+K29+L29+M29)</f>
        <v>1496.77</v>
      </c>
    </row>
    <row r="30" spans="1:14" x14ac:dyDescent="0.25">
      <c r="A30" s="180" t="s">
        <v>69</v>
      </c>
      <c r="B30" s="185">
        <v>34</v>
      </c>
      <c r="C30" s="185">
        <v>6</v>
      </c>
      <c r="D30" s="185">
        <v>38.799999999999997</v>
      </c>
      <c r="E30" s="185">
        <v>382.14</v>
      </c>
      <c r="F30" s="182">
        <f>[1]Maig!$H$228</f>
        <v>444.12</v>
      </c>
      <c r="G30" s="182">
        <f>32.98+15.52+17.46+9.7+36.86+11.64+17.46+11.64+23.28+19.4+9.7+64.02+11.64</f>
        <v>281.29999999999995</v>
      </c>
      <c r="H30" s="182">
        <v>292.94</v>
      </c>
      <c r="I30" s="182">
        <v>700.4</v>
      </c>
      <c r="J30" s="182">
        <v>325.92</v>
      </c>
      <c r="K30" s="182">
        <v>539.78</v>
      </c>
      <c r="L30" s="182">
        <v>449.48</v>
      </c>
      <c r="M30" s="182">
        <v>194.24</v>
      </c>
      <c r="N30" s="188">
        <f>SUM(B30+C30+D30+E30+F30+G30+H30+I30+J30+K30+L30+M30)</f>
        <v>3689.12</v>
      </c>
    </row>
    <row r="31" spans="1:14" x14ac:dyDescent="0.25">
      <c r="A31" s="177" t="s">
        <v>70</v>
      </c>
      <c r="B31" s="185"/>
      <c r="C31" s="185"/>
      <c r="D31" s="185">
        <f>5.6*2</f>
        <v>11.2</v>
      </c>
      <c r="E31" s="185">
        <f>68.24+17.55</f>
        <v>85.789999999999992</v>
      </c>
      <c r="F31" s="182">
        <v>255.7</v>
      </c>
      <c r="G31" s="182">
        <v>262.70999999999998</v>
      </c>
      <c r="H31" s="182">
        <f>6.78+5.6+13.56+6.78</f>
        <v>32.72</v>
      </c>
      <c r="I31" s="182">
        <v>222.87</v>
      </c>
      <c r="J31" s="182">
        <v>90.55</v>
      </c>
      <c r="K31" s="182">
        <v>87.15</v>
      </c>
      <c r="L31" s="182">
        <v>52.78</v>
      </c>
      <c r="M31" s="182">
        <v>47.46</v>
      </c>
      <c r="N31" s="188">
        <f>SUM(B31+C31+D31+E31+F31+G31+H31+I31+J31+K31+L31+M31)</f>
        <v>1148.93</v>
      </c>
    </row>
    <row r="32" spans="1:14" ht="15.75" thickBot="1" x14ac:dyDescent="0.3">
      <c r="A32" s="178" t="s">
        <v>71</v>
      </c>
      <c r="B32" s="186"/>
      <c r="C32" s="186"/>
      <c r="D32" s="186"/>
      <c r="E32" s="186">
        <v>76.14</v>
      </c>
      <c r="F32" s="183"/>
      <c r="G32" s="183">
        <v>24.21</v>
      </c>
      <c r="H32" s="183">
        <f>11.64+9.7+5.82+5.82+5.82+5.82+17.46</f>
        <v>62.080000000000005</v>
      </c>
      <c r="I32" s="183">
        <v>111.84</v>
      </c>
      <c r="J32" s="183">
        <v>157.72</v>
      </c>
      <c r="K32" s="183">
        <v>93.12</v>
      </c>
      <c r="L32" s="107">
        <v>91.18</v>
      </c>
      <c r="M32" s="183">
        <v>23.28</v>
      </c>
      <c r="N32" s="189">
        <f>SUM(B32+C32+D32+E32+F32+G32+H32+I32+J32+K32+L32+M32)</f>
        <v>639.56999999999994</v>
      </c>
    </row>
    <row r="33" spans="1:14" x14ac:dyDescent="0.25">
      <c r="A33" s="306" t="s">
        <v>57</v>
      </c>
      <c r="B33" s="308">
        <f>SUM(B29:B32)</f>
        <v>34</v>
      </c>
      <c r="C33" s="308">
        <f t="shared" ref="C33" si="23">SUM(C29:C32)</f>
        <v>33</v>
      </c>
      <c r="D33" s="308">
        <f t="shared" ref="D33" si="24">SUM(D29:D32)</f>
        <v>50</v>
      </c>
      <c r="E33" s="308">
        <f t="shared" ref="E33" si="25">SUM(E29:E32)</f>
        <v>733.29</v>
      </c>
      <c r="F33" s="308">
        <f t="shared" ref="F33" si="26">SUM(F29:F32)</f>
        <v>843.96</v>
      </c>
      <c r="G33" s="308">
        <f t="shared" ref="G33" si="27">SUM(G29:G32)</f>
        <v>648.73</v>
      </c>
      <c r="H33" s="308">
        <f t="shared" ref="H33" si="28">SUM(H29:H32)</f>
        <v>506.32</v>
      </c>
      <c r="I33" s="308">
        <f t="shared" ref="I33" si="29">SUM(I29:I32)</f>
        <v>1318.07</v>
      </c>
      <c r="J33" s="308">
        <f t="shared" ref="J33" si="30">SUM(J29:J32)</f>
        <v>935.61</v>
      </c>
      <c r="K33" s="308">
        <f t="shared" ref="K33" si="31">SUM(K29:K32)</f>
        <v>805.41</v>
      </c>
      <c r="L33" s="308">
        <f t="shared" ref="L33" si="32">SUM(L29:L32)</f>
        <v>739.91000000000008</v>
      </c>
      <c r="M33" s="308">
        <f t="shared" ref="M33" si="33">SUM(M29:M32)</f>
        <v>326.09000000000003</v>
      </c>
      <c r="N33" s="307">
        <f>SUM(N29:N32)</f>
        <v>6974.3899999999994</v>
      </c>
    </row>
    <row r="38" spans="1:14" x14ac:dyDescent="0.25">
      <c r="E38" s="343"/>
      <c r="F38" s="259"/>
    </row>
    <row r="39" spans="1:14" x14ac:dyDescent="0.25">
      <c r="E39" s="343"/>
      <c r="F39" s="259"/>
    </row>
    <row r="40" spans="1:14" x14ac:dyDescent="0.25">
      <c r="E40" s="343"/>
      <c r="F40" s="259"/>
    </row>
    <row r="41" spans="1:14" x14ac:dyDescent="0.25">
      <c r="E41" s="343"/>
      <c r="F41" s="259"/>
    </row>
    <row r="42" spans="1:14" x14ac:dyDescent="0.25">
      <c r="E42" s="343"/>
      <c r="F42" s="259"/>
    </row>
    <row r="43" spans="1:14" x14ac:dyDescent="0.25">
      <c r="E43" s="344"/>
      <c r="F43" s="259"/>
    </row>
    <row r="44" spans="1:14" x14ac:dyDescent="0.25">
      <c r="E44" s="343"/>
      <c r="F44" s="193"/>
    </row>
    <row r="45" spans="1:14" x14ac:dyDescent="0.25">
      <c r="E45" s="344"/>
      <c r="F45" s="193"/>
    </row>
    <row r="46" spans="1:14" x14ac:dyDescent="0.25">
      <c r="F46" s="193"/>
    </row>
    <row r="48" spans="1:14" x14ac:dyDescent="0.25">
      <c r="E48" s="343"/>
    </row>
    <row r="49" spans="5:5" x14ac:dyDescent="0.25">
      <c r="E49" s="343"/>
    </row>
    <row r="50" spans="5:5" x14ac:dyDescent="0.25">
      <c r="E50" s="343"/>
    </row>
    <row r="51" spans="5:5" x14ac:dyDescent="0.25">
      <c r="E51" s="343"/>
    </row>
    <row r="52" spans="5:5" x14ac:dyDescent="0.25">
      <c r="E52" s="343"/>
    </row>
    <row r="53" spans="5:5" x14ac:dyDescent="0.25">
      <c r="E53" s="343"/>
    </row>
    <row r="54" spans="5:5" x14ac:dyDescent="0.25">
      <c r="E54" s="343"/>
    </row>
    <row r="55" spans="5:5" x14ac:dyDescent="0.25">
      <c r="E55" s="343"/>
    </row>
    <row r="56" spans="5:5" x14ac:dyDescent="0.25">
      <c r="E56" s="343"/>
    </row>
  </sheetData>
  <mergeCells count="4">
    <mergeCell ref="A27:N27"/>
    <mergeCell ref="A19:N19"/>
    <mergeCell ref="A1:N1"/>
    <mergeCell ref="A10:N10"/>
  </mergeCells>
  <phoneticPr fontId="0" type="noConversion"/>
  <pageMargins left="0.7" right="0.7" top="0.75" bottom="0.75" header="0.3" footer="0.3"/>
  <pageSetup paperSize="9" orientation="portrait" horizontalDpi="4294967293" verticalDpi="4294967293"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7"/>
  <sheetViews>
    <sheetView workbookViewId="0">
      <pane xSplit="1" ySplit="1" topLeftCell="B2" activePane="bottomRight" state="frozenSplit"/>
      <selection pane="topRight" activeCell="B1" sqref="B1"/>
      <selection pane="bottomLeft" activeCell="A2" sqref="A2"/>
      <selection pane="bottomRight" activeCell="I29" sqref="I29"/>
    </sheetView>
  </sheetViews>
  <sheetFormatPr defaultColWidth="11.42578125" defaultRowHeight="15" x14ac:dyDescent="0.25"/>
  <cols>
    <col min="1" max="1" width="6.85546875" customWidth="1"/>
    <col min="2" max="2" width="13.85546875" customWidth="1"/>
    <col min="3" max="3" width="6.85546875" bestFit="1" customWidth="1"/>
    <col min="4" max="4" width="12.140625" bestFit="1" customWidth="1"/>
    <col min="5" max="5" width="12.28515625" customWidth="1"/>
    <col min="6" max="6" width="12.42578125" customWidth="1"/>
    <col min="7" max="7" width="9.42578125" bestFit="1" customWidth="1"/>
    <col min="8" max="8" width="11" bestFit="1" customWidth="1"/>
    <col min="9" max="9" width="9.42578125" bestFit="1" customWidth="1"/>
    <col min="10" max="10" width="11" bestFit="1" customWidth="1"/>
    <col min="11" max="11" width="9.42578125" bestFit="1" customWidth="1"/>
    <col min="12" max="12" width="9.7109375" bestFit="1" customWidth="1"/>
    <col min="13" max="13" width="20" bestFit="1" customWidth="1"/>
    <col min="14" max="14" width="9.85546875" bestFit="1" customWidth="1"/>
    <col min="15" max="15" width="11" bestFit="1" customWidth="1"/>
    <col min="16" max="16" width="10.42578125" customWidth="1"/>
    <col min="17" max="17" width="12" bestFit="1" customWidth="1"/>
    <col min="18" max="18" width="11.140625" bestFit="1" customWidth="1"/>
    <col min="19" max="19" width="12" customWidth="1"/>
    <col min="20" max="20" width="11.42578125" hidden="1" customWidth="1"/>
    <col min="21" max="21" width="16" customWidth="1"/>
  </cols>
  <sheetData>
    <row r="1" spans="1:21" ht="30" customHeight="1" x14ac:dyDescent="0.25">
      <c r="A1" s="10" t="s">
        <v>0</v>
      </c>
      <c r="B1" s="377" t="s">
        <v>13</v>
      </c>
      <c r="C1" s="402"/>
      <c r="D1" s="398"/>
      <c r="E1" s="377" t="s">
        <v>34</v>
      </c>
      <c r="F1" s="398"/>
      <c r="G1" s="377" t="s">
        <v>1</v>
      </c>
      <c r="H1" s="398"/>
      <c r="I1" s="377" t="s">
        <v>2</v>
      </c>
      <c r="J1" s="398"/>
      <c r="K1" s="377" t="s">
        <v>22</v>
      </c>
      <c r="L1" s="398"/>
      <c r="M1" s="5" t="s">
        <v>3</v>
      </c>
      <c r="N1" s="396" t="s">
        <v>5</v>
      </c>
      <c r="O1" s="4" t="s">
        <v>66</v>
      </c>
      <c r="P1" s="400" t="s">
        <v>4</v>
      </c>
      <c r="Q1" s="401"/>
      <c r="R1" s="400" t="s">
        <v>33</v>
      </c>
      <c r="S1" s="401"/>
      <c r="T1" s="43"/>
      <c r="U1" s="396" t="s">
        <v>21</v>
      </c>
    </row>
    <row r="2" spans="1:21" ht="24.75" thickBot="1" x14ac:dyDescent="0.3">
      <c r="A2" s="11"/>
      <c r="B2" s="6" t="s">
        <v>19</v>
      </c>
      <c r="C2" s="6" t="s">
        <v>20</v>
      </c>
      <c r="D2" s="7" t="s">
        <v>14</v>
      </c>
      <c r="E2" s="6" t="s">
        <v>19</v>
      </c>
      <c r="F2" s="7" t="s">
        <v>14</v>
      </c>
      <c r="G2" s="6" t="s">
        <v>19</v>
      </c>
      <c r="H2" s="7" t="s">
        <v>14</v>
      </c>
      <c r="I2" s="6" t="s">
        <v>19</v>
      </c>
      <c r="J2" s="7" t="s">
        <v>14</v>
      </c>
      <c r="K2" s="6" t="s">
        <v>19</v>
      </c>
      <c r="L2" s="7" t="s">
        <v>14</v>
      </c>
      <c r="M2" s="7" t="s">
        <v>19</v>
      </c>
      <c r="N2" s="397"/>
      <c r="O2" s="7" t="s">
        <v>14</v>
      </c>
      <c r="P2" s="6" t="s">
        <v>32</v>
      </c>
      <c r="Q2" s="7" t="s">
        <v>14</v>
      </c>
      <c r="R2" s="6" t="s">
        <v>32</v>
      </c>
      <c r="S2" s="7" t="s">
        <v>14</v>
      </c>
      <c r="T2" s="44"/>
      <c r="U2" s="397"/>
    </row>
    <row r="3" spans="1:21" x14ac:dyDescent="0.25">
      <c r="A3" s="12">
        <v>2002</v>
      </c>
      <c r="B3" s="22">
        <v>1928</v>
      </c>
      <c r="C3" s="23"/>
      <c r="D3" s="14"/>
      <c r="E3" s="28"/>
      <c r="F3" s="17"/>
      <c r="G3" s="22"/>
      <c r="H3" s="18"/>
      <c r="I3" s="22">
        <v>561</v>
      </c>
      <c r="J3" s="48"/>
      <c r="K3" s="22"/>
      <c r="L3" s="48"/>
      <c r="M3" s="68"/>
      <c r="N3" s="30">
        <f t="shared" ref="N3:N17" si="0">B3+E3+G3+I3+P3+M3</f>
        <v>2489</v>
      </c>
      <c r="O3" s="51"/>
      <c r="P3" s="28"/>
      <c r="Q3" s="63"/>
      <c r="R3" s="73"/>
      <c r="S3" s="63"/>
      <c r="T3" s="8"/>
      <c r="U3" s="45"/>
    </row>
    <row r="4" spans="1:21" x14ac:dyDescent="0.25">
      <c r="A4" s="12">
        <v>2003</v>
      </c>
      <c r="B4" s="22">
        <v>1724</v>
      </c>
      <c r="C4" s="23"/>
      <c r="D4" s="14"/>
      <c r="E4" s="28"/>
      <c r="F4" s="17"/>
      <c r="G4" s="22"/>
      <c r="H4" s="18"/>
      <c r="I4" s="22">
        <v>412</v>
      </c>
      <c r="J4" s="48"/>
      <c r="K4" s="22"/>
      <c r="L4" s="48"/>
      <c r="M4" s="68"/>
      <c r="N4" s="30">
        <f t="shared" si="0"/>
        <v>2136</v>
      </c>
      <c r="O4" s="51"/>
      <c r="P4" s="28"/>
      <c r="Q4" s="63"/>
      <c r="R4" s="73"/>
      <c r="S4" s="63"/>
      <c r="T4" s="8"/>
      <c r="U4" s="45"/>
    </row>
    <row r="5" spans="1:21" x14ac:dyDescent="0.25">
      <c r="A5" s="12">
        <v>2004</v>
      </c>
      <c r="B5" s="22">
        <v>1951</v>
      </c>
      <c r="C5" s="23"/>
      <c r="D5" s="14"/>
      <c r="E5" s="28"/>
      <c r="F5" s="17"/>
      <c r="G5" s="22"/>
      <c r="H5" s="18"/>
      <c r="I5" s="22">
        <v>290</v>
      </c>
      <c r="J5" s="48"/>
      <c r="K5" s="22"/>
      <c r="L5" s="48"/>
      <c r="M5" s="68"/>
      <c r="N5" s="30">
        <f t="shared" si="0"/>
        <v>2241</v>
      </c>
      <c r="O5" s="51"/>
      <c r="P5" s="28"/>
      <c r="Q5" s="63"/>
      <c r="R5" s="73"/>
      <c r="S5" s="63"/>
      <c r="T5" s="8"/>
      <c r="U5" s="45"/>
    </row>
    <row r="6" spans="1:21" x14ac:dyDescent="0.25">
      <c r="A6" s="12">
        <v>2005</v>
      </c>
      <c r="B6" s="22">
        <v>1913</v>
      </c>
      <c r="C6" s="23"/>
      <c r="D6" s="14"/>
      <c r="E6" s="28"/>
      <c r="F6" s="17"/>
      <c r="G6" s="22"/>
      <c r="H6" s="18"/>
      <c r="I6" s="22">
        <v>195</v>
      </c>
      <c r="J6" s="48"/>
      <c r="K6" s="22"/>
      <c r="L6" s="48"/>
      <c r="M6" s="68"/>
      <c r="N6" s="30">
        <f t="shared" si="0"/>
        <v>2108</v>
      </c>
      <c r="O6" s="51"/>
      <c r="P6" s="28"/>
      <c r="Q6" s="63"/>
      <c r="R6" s="73"/>
      <c r="S6" s="63"/>
      <c r="T6" s="8"/>
      <c r="U6" s="45"/>
    </row>
    <row r="7" spans="1:21" x14ac:dyDescent="0.25">
      <c r="A7" s="12">
        <v>2006</v>
      </c>
      <c r="B7" s="22">
        <v>1699</v>
      </c>
      <c r="C7" s="23"/>
      <c r="D7" s="14"/>
      <c r="E7" s="28"/>
      <c r="F7" s="17"/>
      <c r="G7" s="22"/>
      <c r="H7" s="18"/>
      <c r="I7" s="22">
        <v>435</v>
      </c>
      <c r="J7" s="48"/>
      <c r="K7" s="22"/>
      <c r="L7" s="48"/>
      <c r="M7" s="68"/>
      <c r="N7" s="30">
        <f t="shared" si="0"/>
        <v>2134</v>
      </c>
      <c r="O7" s="51"/>
      <c r="P7" s="28"/>
      <c r="Q7" s="63"/>
      <c r="R7" s="73"/>
      <c r="S7" s="63"/>
      <c r="T7" s="8"/>
      <c r="U7" s="45"/>
    </row>
    <row r="8" spans="1:21" x14ac:dyDescent="0.25">
      <c r="A8" s="12">
        <v>2007</v>
      </c>
      <c r="B8" s="22">
        <v>2023</v>
      </c>
      <c r="C8" s="23"/>
      <c r="D8" s="14"/>
      <c r="E8" s="28"/>
      <c r="F8" s="17"/>
      <c r="G8" s="22"/>
      <c r="H8" s="18"/>
      <c r="I8" s="22">
        <v>810</v>
      </c>
      <c r="J8" s="48"/>
      <c r="K8" s="22"/>
      <c r="L8" s="48"/>
      <c r="M8" s="68"/>
      <c r="N8" s="30">
        <f t="shared" si="0"/>
        <v>2833</v>
      </c>
      <c r="O8" s="51"/>
      <c r="P8" s="28"/>
      <c r="Q8" s="63"/>
      <c r="R8" s="73"/>
      <c r="S8" s="63"/>
      <c r="T8" s="8"/>
      <c r="U8" s="45"/>
    </row>
    <row r="9" spans="1:21" x14ac:dyDescent="0.25">
      <c r="A9" s="12">
        <v>2008</v>
      </c>
      <c r="B9" s="22">
        <v>3880</v>
      </c>
      <c r="C9" s="23"/>
      <c r="D9" s="14"/>
      <c r="E9" s="28"/>
      <c r="F9" s="17"/>
      <c r="G9" s="22"/>
      <c r="H9" s="18"/>
      <c r="I9" s="22">
        <v>830</v>
      </c>
      <c r="J9" s="48"/>
      <c r="K9" s="22"/>
      <c r="L9" s="48"/>
      <c r="M9" s="68"/>
      <c r="N9" s="30">
        <f t="shared" si="0"/>
        <v>4710</v>
      </c>
      <c r="O9" s="51"/>
      <c r="P9" s="28"/>
      <c r="Q9" s="63"/>
      <c r="R9" s="73"/>
      <c r="S9" s="63"/>
      <c r="T9" s="8"/>
      <c r="U9" s="45"/>
    </row>
    <row r="10" spans="1:21" x14ac:dyDescent="0.25">
      <c r="A10" s="12">
        <v>2009</v>
      </c>
      <c r="B10" s="22">
        <v>4500</v>
      </c>
      <c r="C10" s="23"/>
      <c r="D10" s="14"/>
      <c r="E10" s="28"/>
      <c r="F10" s="17"/>
      <c r="G10" s="22"/>
      <c r="H10" s="18"/>
      <c r="I10" s="22">
        <v>879</v>
      </c>
      <c r="J10" s="48"/>
      <c r="K10" s="22"/>
      <c r="L10" s="48"/>
      <c r="M10" s="68"/>
      <c r="N10" s="30">
        <f t="shared" si="0"/>
        <v>5379</v>
      </c>
      <c r="O10" s="51"/>
      <c r="P10" s="28"/>
      <c r="Q10" s="63"/>
      <c r="R10" s="73"/>
      <c r="S10" s="63"/>
      <c r="T10" s="8"/>
      <c r="U10" s="45"/>
    </row>
    <row r="11" spans="1:21" x14ac:dyDescent="0.25">
      <c r="A11" s="12">
        <v>2010</v>
      </c>
      <c r="B11" s="22">
        <v>3228</v>
      </c>
      <c r="C11" s="23"/>
      <c r="D11" s="14"/>
      <c r="E11" s="22">
        <v>310</v>
      </c>
      <c r="F11" s="18"/>
      <c r="G11" s="22"/>
      <c r="H11" s="18"/>
      <c r="I11" s="22">
        <v>610</v>
      </c>
      <c r="J11" s="48"/>
      <c r="K11" s="22"/>
      <c r="L11" s="48"/>
      <c r="M11" s="68"/>
      <c r="N11" s="30">
        <f t="shared" si="0"/>
        <v>4148</v>
      </c>
      <c r="O11" s="51"/>
      <c r="P11" s="28"/>
      <c r="Q11" s="63"/>
      <c r="R11" s="73"/>
      <c r="S11" s="63"/>
      <c r="T11" s="8"/>
      <c r="U11" s="45"/>
    </row>
    <row r="12" spans="1:21" x14ac:dyDescent="0.25">
      <c r="A12" s="12">
        <v>2011</v>
      </c>
      <c r="B12" s="22">
        <v>3522</v>
      </c>
      <c r="C12" s="23"/>
      <c r="D12" s="14"/>
      <c r="E12" s="22">
        <v>169</v>
      </c>
      <c r="F12" s="18"/>
      <c r="G12" s="22"/>
      <c r="H12" s="18"/>
      <c r="I12" s="22">
        <v>798</v>
      </c>
      <c r="J12" s="48"/>
      <c r="K12" s="22"/>
      <c r="L12" s="48"/>
      <c r="M12" s="68"/>
      <c r="N12" s="30">
        <f t="shared" si="0"/>
        <v>4489</v>
      </c>
      <c r="O12" s="51"/>
      <c r="P12" s="28"/>
      <c r="Q12" s="63"/>
      <c r="R12" s="73"/>
      <c r="S12" s="63"/>
      <c r="T12" s="8"/>
      <c r="U12" s="45"/>
    </row>
    <row r="13" spans="1:21" x14ac:dyDescent="0.25">
      <c r="A13" s="12">
        <v>2012</v>
      </c>
      <c r="B13" s="22">
        <v>3814</v>
      </c>
      <c r="C13" s="23"/>
      <c r="D13" s="14"/>
      <c r="E13" s="22">
        <v>263</v>
      </c>
      <c r="F13" s="18"/>
      <c r="G13" s="22">
        <v>410</v>
      </c>
      <c r="H13" s="18"/>
      <c r="I13" s="22">
        <v>663</v>
      </c>
      <c r="J13" s="48"/>
      <c r="K13" s="22"/>
      <c r="L13" s="48"/>
      <c r="M13" s="68"/>
      <c r="N13" s="30">
        <f t="shared" si="0"/>
        <v>5150</v>
      </c>
      <c r="O13" s="51"/>
      <c r="P13" s="28"/>
      <c r="Q13" s="63"/>
      <c r="R13" s="73"/>
      <c r="S13" s="63"/>
      <c r="T13" s="8"/>
      <c r="U13" s="45"/>
    </row>
    <row r="14" spans="1:21" x14ac:dyDescent="0.25">
      <c r="A14" s="12">
        <v>2013</v>
      </c>
      <c r="B14" s="22">
        <v>5010</v>
      </c>
      <c r="C14" s="23"/>
      <c r="D14" s="14"/>
      <c r="E14" s="22">
        <v>189</v>
      </c>
      <c r="F14" s="18"/>
      <c r="G14" s="22">
        <v>657</v>
      </c>
      <c r="H14" s="18"/>
      <c r="I14" s="22">
        <v>533</v>
      </c>
      <c r="J14" s="48"/>
      <c r="K14" s="22"/>
      <c r="L14" s="48"/>
      <c r="M14" s="68"/>
      <c r="N14" s="30">
        <f t="shared" si="0"/>
        <v>6389</v>
      </c>
      <c r="O14" s="51"/>
      <c r="P14" s="28"/>
      <c r="Q14" s="63"/>
      <c r="R14" s="73"/>
      <c r="S14" s="63"/>
      <c r="T14" s="8"/>
      <c r="U14" s="45"/>
    </row>
    <row r="15" spans="1:21" x14ac:dyDescent="0.25">
      <c r="A15" s="12">
        <v>2014</v>
      </c>
      <c r="B15" s="22">
        <v>6298</v>
      </c>
      <c r="C15" s="23"/>
      <c r="D15" s="62">
        <v>11093.06</v>
      </c>
      <c r="E15" s="22">
        <v>133</v>
      </c>
      <c r="F15" s="18"/>
      <c r="G15" s="22">
        <v>754</v>
      </c>
      <c r="H15" s="18"/>
      <c r="I15" s="22">
        <v>628</v>
      </c>
      <c r="J15" s="48"/>
      <c r="K15" s="22"/>
      <c r="L15" s="48"/>
      <c r="M15" s="68"/>
      <c r="N15" s="30">
        <f t="shared" si="0"/>
        <v>7813</v>
      </c>
      <c r="O15" s="51">
        <v>2268.9299999999998</v>
      </c>
      <c r="P15" s="28"/>
      <c r="Q15" s="63"/>
      <c r="R15" s="73"/>
      <c r="S15" s="63"/>
      <c r="T15" s="8"/>
      <c r="U15" s="45"/>
    </row>
    <row r="16" spans="1:21" x14ac:dyDescent="0.25">
      <c r="A16" s="12">
        <v>2015</v>
      </c>
      <c r="B16" s="22">
        <v>4169</v>
      </c>
      <c r="C16" s="23"/>
      <c r="D16" s="62">
        <v>7442.68</v>
      </c>
      <c r="E16" s="22">
        <v>275</v>
      </c>
      <c r="F16" s="18"/>
      <c r="G16" s="22">
        <v>1329</v>
      </c>
      <c r="H16" s="18"/>
      <c r="I16" s="22">
        <v>136</v>
      </c>
      <c r="J16" s="48"/>
      <c r="K16" s="22"/>
      <c r="L16" s="48"/>
      <c r="M16" s="68"/>
      <c r="N16" s="30">
        <f t="shared" si="0"/>
        <v>5909</v>
      </c>
      <c r="O16" s="51">
        <v>1464.66</v>
      </c>
      <c r="P16" s="28"/>
      <c r="Q16" s="63"/>
      <c r="R16" s="73"/>
      <c r="S16" s="63">
        <v>2830.5</v>
      </c>
      <c r="T16" s="8"/>
      <c r="U16" s="46">
        <f>D16+F16+H16</f>
        <v>7442.68</v>
      </c>
    </row>
    <row r="17" spans="1:21" x14ac:dyDescent="0.25">
      <c r="A17" s="12">
        <v>2016</v>
      </c>
      <c r="B17" s="22">
        <v>5647</v>
      </c>
      <c r="C17" s="23"/>
      <c r="D17" s="62">
        <v>12537.8</v>
      </c>
      <c r="E17" s="28"/>
      <c r="F17" s="17"/>
      <c r="G17" s="22"/>
      <c r="H17" s="18"/>
      <c r="I17" s="22">
        <v>742</v>
      </c>
      <c r="J17" s="48"/>
      <c r="K17" s="22"/>
      <c r="L17" s="48"/>
      <c r="M17" s="68"/>
      <c r="N17" s="30">
        <f t="shared" si="0"/>
        <v>6389</v>
      </c>
      <c r="O17" s="51">
        <v>3084.71</v>
      </c>
      <c r="P17" s="28"/>
      <c r="Q17" s="63"/>
      <c r="R17" s="73"/>
      <c r="S17" s="63">
        <v>4035.4</v>
      </c>
      <c r="T17" s="8"/>
      <c r="U17" s="46">
        <f>D17+F17+H17</f>
        <v>12537.8</v>
      </c>
    </row>
    <row r="18" spans="1:21" x14ac:dyDescent="0.25">
      <c r="A18" s="13">
        <v>2017</v>
      </c>
      <c r="B18" s="24">
        <v>4785</v>
      </c>
      <c r="C18" s="25"/>
      <c r="D18" s="15">
        <v>12468.25</v>
      </c>
      <c r="E18" s="24">
        <f>1700+102+647</f>
        <v>2449</v>
      </c>
      <c r="F18" s="19">
        <f>2704+1700</f>
        <v>4404</v>
      </c>
      <c r="G18" s="24">
        <v>2177</v>
      </c>
      <c r="H18" s="19">
        <v>5206</v>
      </c>
      <c r="I18" s="24">
        <v>295</v>
      </c>
      <c r="J18" s="49">
        <v>753</v>
      </c>
      <c r="K18" s="24">
        <v>485</v>
      </c>
      <c r="L18" s="49">
        <v>811</v>
      </c>
      <c r="M18" s="69">
        <v>3500</v>
      </c>
      <c r="N18" s="30">
        <f>B18+E18+G18+I18+M18</f>
        <v>13206</v>
      </c>
      <c r="O18" s="52">
        <v>2879.45</v>
      </c>
      <c r="P18" s="64">
        <f>57+8</f>
        <v>65</v>
      </c>
      <c r="Q18" s="65">
        <v>6779.7</v>
      </c>
      <c r="R18" s="72">
        <v>24</v>
      </c>
      <c r="S18" s="65">
        <v>3939.57</v>
      </c>
      <c r="T18" s="9"/>
      <c r="U18" s="46">
        <f>D18+F18+H18</f>
        <v>22078.25</v>
      </c>
    </row>
    <row r="19" spans="1:21" x14ac:dyDescent="0.25">
      <c r="A19" s="13">
        <v>2018</v>
      </c>
      <c r="B19" s="24">
        <v>6107</v>
      </c>
      <c r="C19" s="25">
        <v>164</v>
      </c>
      <c r="D19" s="15">
        <v>15799.25</v>
      </c>
      <c r="E19" s="24">
        <v>2839</v>
      </c>
      <c r="F19" s="18">
        <v>5595</v>
      </c>
      <c r="G19" s="24">
        <v>1736</v>
      </c>
      <c r="H19" s="19">
        <v>3831</v>
      </c>
      <c r="I19" s="24">
        <v>822</v>
      </c>
      <c r="J19" s="49">
        <v>2227</v>
      </c>
      <c r="K19" s="24">
        <v>325</v>
      </c>
      <c r="L19" s="49">
        <v>511</v>
      </c>
      <c r="M19" s="69">
        <v>2150</v>
      </c>
      <c r="N19" s="30">
        <f>B19+E19+G19+I19+M19</f>
        <v>13654</v>
      </c>
      <c r="O19" s="52">
        <v>3952.7</v>
      </c>
      <c r="P19" s="64">
        <v>86</v>
      </c>
      <c r="Q19" s="65">
        <v>12521.5</v>
      </c>
      <c r="R19" s="72">
        <v>20</v>
      </c>
      <c r="S19" s="65">
        <v>5358.44</v>
      </c>
      <c r="T19" s="9"/>
      <c r="U19" s="46">
        <f>D19+F19+H19</f>
        <v>25225.25</v>
      </c>
    </row>
    <row r="20" spans="1:21" ht="15.75" thickBot="1" x14ac:dyDescent="0.3">
      <c r="A20" s="12">
        <v>2019</v>
      </c>
      <c r="B20" s="26">
        <v>6317</v>
      </c>
      <c r="C20" s="27">
        <v>171</v>
      </c>
      <c r="D20" s="16">
        <v>18452.75</v>
      </c>
      <c r="E20" s="29">
        <v>2975</v>
      </c>
      <c r="F20" s="20">
        <v>6709</v>
      </c>
      <c r="G20" s="26">
        <v>4372</v>
      </c>
      <c r="H20" s="21">
        <v>9714</v>
      </c>
      <c r="I20" s="29">
        <v>1062</v>
      </c>
      <c r="J20" s="50">
        <v>2798</v>
      </c>
      <c r="K20" s="29">
        <v>256</v>
      </c>
      <c r="L20" s="50">
        <v>423.5</v>
      </c>
      <c r="M20" s="70">
        <v>808</v>
      </c>
      <c r="N20" s="42">
        <f>B20+E20+G20+I20+M20+K20</f>
        <v>15790</v>
      </c>
      <c r="O20" s="53">
        <v>2807.7499999999991</v>
      </c>
      <c r="P20" s="70">
        <f>39+29</f>
        <v>68</v>
      </c>
      <c r="Q20" s="53">
        <f>5537.57+7735.8</f>
        <v>13273.369999999999</v>
      </c>
      <c r="R20" s="29">
        <v>24</v>
      </c>
      <c r="S20" s="66">
        <v>4358</v>
      </c>
      <c r="T20" s="67"/>
      <c r="U20" s="47">
        <f>D20+F20+H20+J20+L20+Q20+S20</f>
        <v>55728.619999999995</v>
      </c>
    </row>
    <row r="21" spans="1:21" ht="15.75" thickBot="1" x14ac:dyDescent="0.3">
      <c r="A21" s="12">
        <v>2020</v>
      </c>
      <c r="B21" s="26">
        <f>'Evolució mensual_anys'!O66</f>
        <v>1675</v>
      </c>
      <c r="C21" s="27"/>
      <c r="D21" s="16">
        <f>'Evolució mensual_anys'!O74</f>
        <v>5763.5</v>
      </c>
      <c r="E21" s="29">
        <f>'Evolució mensual_anys'!O63</f>
        <v>805</v>
      </c>
      <c r="F21" s="20">
        <f>'Evolució mensual_anys'!O74</f>
        <v>5763.5</v>
      </c>
      <c r="G21" s="26">
        <f>'Evolució mensual_anys'!O62</f>
        <v>3200</v>
      </c>
      <c r="H21" s="21">
        <f>'Evolució mensual_anys'!O70</f>
        <v>7793</v>
      </c>
      <c r="I21" s="29">
        <f>'Evolució mensual_anys'!O64</f>
        <v>866</v>
      </c>
      <c r="J21" s="50">
        <f>'Evolució mensual_anys'!O72</f>
        <v>2292.5</v>
      </c>
      <c r="K21" s="29">
        <f>'Evolució mensual_anys'!O65</f>
        <v>136</v>
      </c>
      <c r="L21" s="50">
        <f>'Evolució mensual_anys'!O73</f>
        <v>235.5</v>
      </c>
      <c r="M21" s="70">
        <v>91</v>
      </c>
      <c r="N21" s="42">
        <f>B21+E21+G21+I21+M21+K21</f>
        <v>6773</v>
      </c>
      <c r="O21" s="53">
        <f>'Evolució mensual_anys'!O75+'Evolució mensual_anys'!O76</f>
        <v>918.55000000000007</v>
      </c>
      <c r="P21" s="70">
        <v>4</v>
      </c>
      <c r="Q21" s="53">
        <f>[5]Tallers!$H$7</f>
        <v>4655</v>
      </c>
      <c r="R21" s="29">
        <v>3</v>
      </c>
      <c r="S21" s="66">
        <v>1049.2</v>
      </c>
      <c r="T21" s="67"/>
      <c r="U21" s="47">
        <f>D21+F21+H21+J21+L21+Q21+S21</f>
        <v>27552.2</v>
      </c>
    </row>
    <row r="22" spans="1:21" x14ac:dyDescent="0.25">
      <c r="A22" s="125"/>
    </row>
    <row r="23" spans="1:21" x14ac:dyDescent="0.25">
      <c r="B23" s="71" t="s">
        <v>6</v>
      </c>
    </row>
    <row r="24" spans="1:21" x14ac:dyDescent="0.25">
      <c r="B24" s="2" t="s">
        <v>7</v>
      </c>
      <c r="C24" s="2"/>
      <c r="D24" s="2"/>
      <c r="P24" s="59"/>
      <c r="Q24" s="59"/>
      <c r="R24" s="59"/>
      <c r="S24" s="59"/>
    </row>
    <row r="25" spans="1:21" x14ac:dyDescent="0.25">
      <c r="B25" s="2" t="s">
        <v>8</v>
      </c>
      <c r="C25" s="2"/>
      <c r="D25" s="2"/>
    </row>
    <row r="26" spans="1:21" x14ac:dyDescent="0.25">
      <c r="B26" s="2" t="s">
        <v>11</v>
      </c>
      <c r="C26" s="2"/>
      <c r="D26" s="2"/>
    </row>
    <row r="27" spans="1:21" x14ac:dyDescent="0.25">
      <c r="B27" s="2" t="s">
        <v>9</v>
      </c>
      <c r="C27" s="2"/>
      <c r="D27" s="2"/>
    </row>
    <row r="28" spans="1:21" x14ac:dyDescent="0.25">
      <c r="B28" s="2" t="s">
        <v>10</v>
      </c>
      <c r="C28" s="2"/>
      <c r="D28" s="2"/>
    </row>
    <row r="30" spans="1:21" x14ac:dyDescent="0.25">
      <c r="B30" s="3" t="s">
        <v>12</v>
      </c>
      <c r="C30" s="3"/>
      <c r="D30" s="3"/>
    </row>
    <row r="31" spans="1:21" ht="15.75" thickBot="1" x14ac:dyDescent="0.3"/>
    <row r="32" spans="1:21" x14ac:dyDescent="0.25">
      <c r="C32" s="37"/>
      <c r="D32" s="399">
        <v>2017</v>
      </c>
      <c r="E32" s="399"/>
      <c r="F32" s="399">
        <v>2018</v>
      </c>
      <c r="G32" s="399"/>
      <c r="H32" s="399">
        <v>2019</v>
      </c>
      <c r="I32" s="403"/>
      <c r="J32" s="399">
        <v>2020</v>
      </c>
      <c r="K32" s="403"/>
      <c r="L32" s="399">
        <v>2021</v>
      </c>
      <c r="M32" s="403"/>
      <c r="O32" s="31"/>
    </row>
    <row r="33" spans="3:15" x14ac:dyDescent="0.25">
      <c r="C33" s="38"/>
      <c r="D33" s="33" t="s">
        <v>15</v>
      </c>
      <c r="E33" s="34" t="s">
        <v>16</v>
      </c>
      <c r="F33" s="33" t="s">
        <v>15</v>
      </c>
      <c r="G33" s="34" t="s">
        <v>16</v>
      </c>
      <c r="H33" s="33" t="s">
        <v>15</v>
      </c>
      <c r="I33" s="39" t="s">
        <v>16</v>
      </c>
      <c r="J33" s="33" t="s">
        <v>15</v>
      </c>
      <c r="K33" s="39" t="s">
        <v>16</v>
      </c>
      <c r="L33" s="33" t="s">
        <v>15</v>
      </c>
      <c r="M33" s="39" t="s">
        <v>16</v>
      </c>
    </row>
    <row r="34" spans="3:15" ht="45" x14ac:dyDescent="0.25">
      <c r="C34" s="40" t="s">
        <v>17</v>
      </c>
      <c r="D34" s="35">
        <v>0.65815423514538562</v>
      </c>
      <c r="E34" s="60">
        <v>2.3913642627468996</v>
      </c>
      <c r="F34" s="35">
        <v>0.40639753859211714</v>
      </c>
      <c r="G34" s="36">
        <v>2.2065092165898617</v>
      </c>
      <c r="H34" s="35">
        <v>0.59133824693914849</v>
      </c>
      <c r="I34" s="41">
        <v>2.2200000000000002</v>
      </c>
      <c r="J34" s="35">
        <v>0.78122380553227155</v>
      </c>
      <c r="K34" s="41">
        <v>2.6587982832618025</v>
      </c>
      <c r="L34" s="35"/>
      <c r="M34" s="41"/>
      <c r="O34" s="32"/>
    </row>
    <row r="35" spans="3:15" ht="33.75" x14ac:dyDescent="0.25">
      <c r="C35" s="40" t="s">
        <v>18</v>
      </c>
      <c r="D35" s="35">
        <v>0.34184576485461443</v>
      </c>
      <c r="E35" s="60">
        <v>3.8138222849083214</v>
      </c>
      <c r="F35" s="35">
        <v>0.59360246140788286</v>
      </c>
      <c r="G35" s="36">
        <v>1.9707643536456498</v>
      </c>
      <c r="H35" s="35">
        <v>0.40866175306085156</v>
      </c>
      <c r="I35" s="41">
        <v>2.25</v>
      </c>
      <c r="J35" s="35">
        <v>0.21877619446772842</v>
      </c>
      <c r="K35" s="41">
        <v>4.3218390804597702</v>
      </c>
      <c r="L35" s="35"/>
      <c r="M35" s="41"/>
      <c r="O35" s="32"/>
    </row>
    <row r="36" spans="3:15" x14ac:dyDescent="0.25">
      <c r="H36" s="31" t="s">
        <v>23</v>
      </c>
      <c r="I36" s="31"/>
    </row>
    <row r="37" spans="3:15" x14ac:dyDescent="0.25">
      <c r="H37" s="54" t="s">
        <v>68</v>
      </c>
      <c r="I37" s="54">
        <v>883</v>
      </c>
      <c r="J37" s="54"/>
    </row>
  </sheetData>
  <mergeCells count="14">
    <mergeCell ref="U1:U2"/>
    <mergeCell ref="I1:J1"/>
    <mergeCell ref="K1:L1"/>
    <mergeCell ref="D32:E32"/>
    <mergeCell ref="P1:Q1"/>
    <mergeCell ref="R1:S1"/>
    <mergeCell ref="B1:D1"/>
    <mergeCell ref="G1:H1"/>
    <mergeCell ref="E1:F1"/>
    <mergeCell ref="F32:G32"/>
    <mergeCell ref="H32:I32"/>
    <mergeCell ref="J32:K32"/>
    <mergeCell ref="N1:N2"/>
    <mergeCell ref="L32:M32"/>
  </mergeCells>
  <phoneticPr fontId="0" type="noConversion"/>
  <pageMargins left="0.7" right="0.7" top="0.75" bottom="0.75" header="0.3" footer="0.3"/>
  <pageSetup paperSize="9" orientation="landscape" horizontalDpi="4294967293" verticalDpi="4294967293"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workbookViewId="0">
      <selection activeCell="J20" sqref="J20"/>
    </sheetView>
  </sheetViews>
  <sheetFormatPr defaultColWidth="11.42578125" defaultRowHeight="15" x14ac:dyDescent="0.25"/>
  <cols>
    <col min="1" max="1" width="7.28515625" customWidth="1"/>
    <col min="2" max="2" width="7" bestFit="1" customWidth="1"/>
    <col min="3" max="3" width="10.140625" bestFit="1" customWidth="1"/>
    <col min="4" max="4" width="7.85546875" bestFit="1" customWidth="1"/>
    <col min="5" max="5" width="9.85546875" bestFit="1" customWidth="1"/>
    <col min="6" max="6" width="11.5703125" bestFit="1" customWidth="1"/>
  </cols>
  <sheetData>
    <row r="1" spans="1:8" x14ac:dyDescent="0.25">
      <c r="A1" s="33" t="s">
        <v>0</v>
      </c>
      <c r="B1" s="404" t="s">
        <v>24</v>
      </c>
      <c r="C1" s="405"/>
      <c r="D1" s="405"/>
      <c r="E1" s="406"/>
      <c r="F1" s="56" t="s">
        <v>25</v>
      </c>
      <c r="G1" s="56" t="s">
        <v>30</v>
      </c>
      <c r="H1" s="33" t="s">
        <v>31</v>
      </c>
    </row>
    <row r="2" spans="1:8" x14ac:dyDescent="0.25">
      <c r="A2" s="33"/>
      <c r="B2" s="55" t="s">
        <v>29</v>
      </c>
      <c r="C2" s="55" t="s">
        <v>26</v>
      </c>
      <c r="D2" s="55" t="s">
        <v>27</v>
      </c>
      <c r="E2" s="55" t="s">
        <v>28</v>
      </c>
      <c r="F2" s="55" t="s">
        <v>26</v>
      </c>
      <c r="G2" s="34"/>
      <c r="H2" s="33"/>
    </row>
    <row r="3" spans="1:8" x14ac:dyDescent="0.25">
      <c r="A3" s="1">
        <v>2002</v>
      </c>
      <c r="B3" s="23"/>
      <c r="C3" s="23"/>
      <c r="D3" s="23"/>
      <c r="E3" s="23"/>
      <c r="F3" s="23"/>
      <c r="G3" s="34"/>
      <c r="H3" s="1"/>
    </row>
    <row r="4" spans="1:8" x14ac:dyDescent="0.25">
      <c r="A4" s="1">
        <v>2003</v>
      </c>
      <c r="B4" s="23"/>
      <c r="C4" s="23"/>
      <c r="D4" s="23"/>
      <c r="E4" s="23"/>
      <c r="F4" s="23"/>
      <c r="G4" s="34"/>
      <c r="H4" s="1"/>
    </row>
    <row r="5" spans="1:8" x14ac:dyDescent="0.25">
      <c r="A5" s="1">
        <v>2004</v>
      </c>
      <c r="B5" s="23"/>
      <c r="C5" s="23"/>
      <c r="D5" s="23"/>
      <c r="E5" s="23"/>
      <c r="F5" s="23"/>
      <c r="G5" s="34"/>
      <c r="H5" s="1"/>
    </row>
    <row r="6" spans="1:8" x14ac:dyDescent="0.25">
      <c r="A6" s="1">
        <v>2005</v>
      </c>
      <c r="B6" s="23"/>
      <c r="C6" s="23"/>
      <c r="D6" s="23"/>
      <c r="E6" s="23"/>
      <c r="F6" s="23"/>
      <c r="G6" s="34"/>
      <c r="H6" s="1"/>
    </row>
    <row r="7" spans="1:8" x14ac:dyDescent="0.25">
      <c r="A7" s="1">
        <v>2006</v>
      </c>
      <c r="B7" s="23"/>
      <c r="C7" s="23"/>
      <c r="D7" s="23"/>
      <c r="E7" s="23"/>
      <c r="F7" s="23"/>
      <c r="G7" s="34"/>
      <c r="H7" s="1"/>
    </row>
    <row r="8" spans="1:8" x14ac:dyDescent="0.25">
      <c r="A8" s="1">
        <v>2007</v>
      </c>
      <c r="B8" s="23"/>
      <c r="C8" s="23"/>
      <c r="D8" s="23"/>
      <c r="E8" s="23"/>
      <c r="F8" s="23"/>
      <c r="G8" s="34"/>
      <c r="H8" s="1"/>
    </row>
    <row r="9" spans="1:8" x14ac:dyDescent="0.25">
      <c r="A9" s="1">
        <v>2008</v>
      </c>
      <c r="B9" s="23"/>
      <c r="C9" s="23"/>
      <c r="D9" s="23"/>
      <c r="E9" s="23"/>
      <c r="F9" s="23"/>
      <c r="G9" s="34"/>
      <c r="H9" s="1"/>
    </row>
    <row r="10" spans="1:8" x14ac:dyDescent="0.25">
      <c r="A10" s="1">
        <v>2009</v>
      </c>
      <c r="B10" s="23"/>
      <c r="C10" s="23"/>
      <c r="D10" s="23"/>
      <c r="E10" s="23"/>
      <c r="F10" s="23"/>
      <c r="G10" s="34"/>
      <c r="H10" s="1"/>
    </row>
    <row r="11" spans="1:8" x14ac:dyDescent="0.25">
      <c r="A11" s="1">
        <v>2010</v>
      </c>
      <c r="B11" s="23"/>
      <c r="C11" s="23"/>
      <c r="D11" s="23"/>
      <c r="E11" s="23"/>
      <c r="F11" s="23"/>
      <c r="G11" s="34"/>
      <c r="H11" s="1"/>
    </row>
    <row r="12" spans="1:8" x14ac:dyDescent="0.25">
      <c r="A12" s="1">
        <v>2011</v>
      </c>
      <c r="B12" s="23"/>
      <c r="C12" s="23"/>
      <c r="D12" s="23"/>
      <c r="E12" s="23"/>
      <c r="F12" s="23"/>
      <c r="G12" s="34"/>
      <c r="H12" s="1"/>
    </row>
    <row r="13" spans="1:8" x14ac:dyDescent="0.25">
      <c r="A13" s="1">
        <v>2012</v>
      </c>
      <c r="B13" s="23"/>
      <c r="C13" s="23"/>
      <c r="D13" s="23"/>
      <c r="E13" s="23"/>
      <c r="F13" s="23"/>
      <c r="G13" s="34"/>
      <c r="H13" s="1"/>
    </row>
    <row r="14" spans="1:8" x14ac:dyDescent="0.25">
      <c r="A14" s="1">
        <v>2013</v>
      </c>
      <c r="B14" s="23"/>
      <c r="C14" s="23"/>
      <c r="D14" s="23"/>
      <c r="E14" s="23"/>
      <c r="F14" s="23"/>
      <c r="G14" s="34"/>
      <c r="H14" s="1"/>
    </row>
    <row r="15" spans="1:8" x14ac:dyDescent="0.25">
      <c r="A15" s="1">
        <v>2014</v>
      </c>
      <c r="B15" s="23"/>
      <c r="C15" s="23"/>
      <c r="D15" s="23"/>
      <c r="E15" s="23"/>
      <c r="F15" s="23"/>
      <c r="G15" s="34"/>
      <c r="H15" s="1"/>
    </row>
    <row r="16" spans="1:8" x14ac:dyDescent="0.25">
      <c r="A16" s="1">
        <v>2015</v>
      </c>
      <c r="B16" s="23"/>
      <c r="C16" s="23"/>
      <c r="D16" s="23"/>
      <c r="E16" s="23"/>
      <c r="F16" s="23"/>
      <c r="G16" s="34"/>
      <c r="H16" s="1"/>
    </row>
    <row r="17" spans="1:8" x14ac:dyDescent="0.25">
      <c r="A17" s="1">
        <v>2016</v>
      </c>
      <c r="B17" s="23"/>
      <c r="C17" s="23"/>
      <c r="D17" s="23"/>
      <c r="E17" s="23"/>
      <c r="F17" s="23"/>
      <c r="G17" s="34"/>
      <c r="H17" s="1"/>
    </row>
    <row r="18" spans="1:8" x14ac:dyDescent="0.25">
      <c r="A18" s="1">
        <v>2017</v>
      </c>
      <c r="B18" s="23">
        <v>160</v>
      </c>
      <c r="C18" s="61">
        <v>6340</v>
      </c>
      <c r="D18" s="23">
        <v>268</v>
      </c>
      <c r="E18" s="23">
        <v>0</v>
      </c>
      <c r="F18" s="23">
        <v>66</v>
      </c>
      <c r="G18" s="58">
        <f>SUM(B18:F18)</f>
        <v>6834</v>
      </c>
      <c r="H18" s="1"/>
    </row>
    <row r="19" spans="1:8" x14ac:dyDescent="0.25">
      <c r="A19" s="1">
        <v>2018</v>
      </c>
      <c r="B19" s="23">
        <v>37</v>
      </c>
      <c r="C19" s="23">
        <v>3740</v>
      </c>
      <c r="D19" s="23">
        <v>251</v>
      </c>
      <c r="E19" s="23">
        <v>0</v>
      </c>
      <c r="F19" s="23">
        <v>79</v>
      </c>
      <c r="G19" s="58">
        <f>SUM(B19:F19)</f>
        <v>4107</v>
      </c>
      <c r="H19" s="57">
        <f>(C19-C18)/C18</f>
        <v>-0.41009463722397477</v>
      </c>
    </row>
    <row r="20" spans="1:8" x14ac:dyDescent="0.25">
      <c r="A20" s="1">
        <v>2019</v>
      </c>
      <c r="B20" s="23">
        <v>101</v>
      </c>
      <c r="C20" s="23">
        <v>5552</v>
      </c>
      <c r="D20" s="23">
        <v>397</v>
      </c>
      <c r="E20" s="126">
        <v>13</v>
      </c>
      <c r="F20" s="23">
        <v>534</v>
      </c>
      <c r="G20" s="58">
        <f>SUM(B20:F20)</f>
        <v>6597</v>
      </c>
      <c r="H20" s="57">
        <f>(C20-C19)/C19</f>
        <v>0.48449197860962567</v>
      </c>
    </row>
    <row r="21" spans="1:8" x14ac:dyDescent="0.25">
      <c r="A21" s="1">
        <v>2020</v>
      </c>
      <c r="B21" s="1">
        <v>149</v>
      </c>
      <c r="C21" s="1">
        <v>2458</v>
      </c>
      <c r="D21" s="1">
        <v>280</v>
      </c>
      <c r="E21" s="1">
        <v>48</v>
      </c>
      <c r="F21" s="1">
        <f>'Evolució mensual_anys'!O58</f>
        <v>494</v>
      </c>
      <c r="G21" s="58">
        <f>SUM(B21:F21)</f>
        <v>3429</v>
      </c>
      <c r="H21" s="57">
        <f>(C21-C20)/C20</f>
        <v>-0.55727665706051877</v>
      </c>
    </row>
  </sheetData>
  <mergeCells count="1">
    <mergeCell ref="B1:E1"/>
  </mergeCells>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9</vt:i4>
      </vt:variant>
    </vt:vector>
  </HeadingPairs>
  <TitlesOfParts>
    <vt:vector size="9" baseType="lpstr">
      <vt:lpstr>Mensual polítics</vt:lpstr>
      <vt:lpstr>Increments anuals</vt:lpstr>
      <vt:lpstr>RESUM</vt:lpstr>
      <vt:lpstr>Evolució mensual_anys</vt:lpstr>
      <vt:lpstr>gràfiques</vt:lpstr>
      <vt:lpstr>Comparativa estiu-any</vt:lpstr>
      <vt:lpstr>Vendes Tiqets</vt:lpstr>
      <vt:lpstr>Productes turístics</vt:lpstr>
      <vt:lpstr>Atenció turística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Amargant</dc:creator>
  <cp:lastModifiedBy>Centre Domus Sent Sovi</cp:lastModifiedBy>
  <cp:lastPrinted>2018-01-07T09:11:23Z</cp:lastPrinted>
  <dcterms:created xsi:type="dcterms:W3CDTF">2018-01-05T11:55:24Z</dcterms:created>
  <dcterms:modified xsi:type="dcterms:W3CDTF">2022-11-12T17:56:42Z</dcterms:modified>
</cp:coreProperties>
</file>